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E:\FORMULA RATES SPP\Annual Update AEP West Trans\True Ups\2024 Annual Update\Filed Documents\"/>
    </mc:Choice>
  </mc:AlternateContent>
  <xr:revisionPtr revIDLastSave="0" documentId="8_{0B3BC84A-A2E9-4134-8644-BD1F53E350AA}" xr6:coauthVersionLast="47" xr6:coauthVersionMax="47" xr10:uidLastSave="{00000000-0000-0000-0000-000000000000}"/>
  <bookViews>
    <workbookView xWindow="52680" yWindow="-120" windowWidth="24240" windowHeight="13020" activeTab="1" xr2:uid="{00000000-000D-0000-FFFF-FFFF00000000}"/>
  </bookViews>
  <sheets>
    <sheet name="Instructions" sheetId="33" r:id="rId1"/>
    <sheet name="Summary" sheetId="29" r:id="rId2"/>
    <sheet name="Pivot" sheetId="31" r:id="rId3"/>
    <sheet name="Transactions" sheetId="18" r:id="rId4"/>
  </sheets>
  <definedNames>
    <definedName name="_xlnm._FilterDatabase" localSheetId="3" hidden="1">Transactions!$A$15:$R$211</definedName>
    <definedName name="AS1_1999" localSheetId="3">Transactions!$C$19:$J$26</definedName>
    <definedName name="AS1_1999">#REF!</definedName>
    <definedName name="Avg_Annual_FERC_Rate">#REF!</definedName>
    <definedName name="etec">#REF!</definedName>
    <definedName name="fake">#REF!</definedName>
    <definedName name="greenbelt">#REF!</definedName>
    <definedName name="janetec">#REF!</definedName>
    <definedName name="lighthouse">#REF!</definedName>
    <definedName name="ntec">#REF!</definedName>
    <definedName name="ompa">#REF!</definedName>
    <definedName name="_xlnm.Print_Area" localSheetId="0">Instructions!$A$1:$R$18</definedName>
    <definedName name="_xlnm.Print_Area" localSheetId="1">Summary!$C$1:$I$40</definedName>
    <definedName name="_xlnm.Print_Area" localSheetId="3">Transactions!$A$1:$R$211</definedName>
    <definedName name="_xlnm.Print_Titles" localSheetId="2">Pivot!$3:$4</definedName>
    <definedName name="_xlnm.Print_Titles" localSheetId="3">Transactions!$B:$E,Transactions!$1:$19</definedName>
    <definedName name="ss1et">#REF!</definedName>
    <definedName name="ss1gb">#REF!</definedName>
    <definedName name="ss1lh">#REF!</definedName>
    <definedName name="ss1nt">#REF!</definedName>
    <definedName name="ss1op">#REF!</definedName>
    <definedName name="ss1tx">#REF!</definedName>
    <definedName name="ss1wf">#REF!</definedName>
    <definedName name="ss2et">#REF!</definedName>
    <definedName name="ss2etc">#REF!</definedName>
    <definedName name="ss2gb">#REF!</definedName>
    <definedName name="ss2gbt">#REF!</definedName>
    <definedName name="ss2lh">#REF!</definedName>
    <definedName name="ss2lhs">#REF!</definedName>
    <definedName name="ss2nt">#REF!</definedName>
    <definedName name="ss2ntc">#REF!</definedName>
    <definedName name="ss2op">#REF!</definedName>
    <definedName name="ss2opm">#REF!</definedName>
    <definedName name="ss2tx">#REF!</definedName>
    <definedName name="ss2txl">#REF!</definedName>
    <definedName name="ss2wf">#REF!</definedName>
    <definedName name="ss3et">#REF!</definedName>
    <definedName name="ss3gb">#REF!</definedName>
    <definedName name="ss3lh">#REF!</definedName>
    <definedName name="ss3nt">#REF!</definedName>
    <definedName name="ss3op">#REF!</definedName>
    <definedName name="ss3tx">#REF!</definedName>
    <definedName name="ss3wf">#REF!</definedName>
    <definedName name="ss5et">#REF!</definedName>
    <definedName name="ss5gb">#REF!</definedName>
    <definedName name="ss5lh">#REF!</definedName>
    <definedName name="ss5nt">#REF!</definedName>
    <definedName name="ss5op">#REF!</definedName>
    <definedName name="ss5tx">#REF!</definedName>
    <definedName name="ss5wf">#REF!</definedName>
    <definedName name="ss6et">#REF!</definedName>
    <definedName name="ss6gb">#REF!</definedName>
    <definedName name="ss6lh">#REF!</definedName>
    <definedName name="ss6nt">#REF!</definedName>
    <definedName name="ss6op">#REF!</definedName>
    <definedName name="ss6tx">#REF!</definedName>
    <definedName name="ss6wf">#REF!</definedName>
    <definedName name="tbl_QtrPrimRat">#REF!</definedName>
    <definedName name="texla">#REF!</definedName>
  </definedNames>
  <calcPr calcId="191029" iterate="1"/>
  <pivotCaches>
    <pivotCache cacheId="66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29" l="1"/>
  <c r="L3" i="18" l="1"/>
  <c r="K1" i="18" l="1"/>
  <c r="B79" i="18"/>
  <c r="B78" i="18"/>
  <c r="B77" i="18"/>
  <c r="B76" i="18"/>
  <c r="B75" i="18"/>
  <c r="B74" i="18"/>
  <c r="B73" i="18"/>
  <c r="B72" i="18"/>
  <c r="B71" i="18"/>
  <c r="B70" i="18"/>
  <c r="B69" i="18"/>
  <c r="B68" i="18"/>
  <c r="C1" i="29"/>
  <c r="B3" i="18"/>
  <c r="B55" i="18"/>
  <c r="B54" i="18"/>
  <c r="B53" i="18"/>
  <c r="B52" i="18"/>
  <c r="B51" i="18"/>
  <c r="B50" i="18"/>
  <c r="B49" i="18"/>
  <c r="B48" i="18"/>
  <c r="B47" i="18"/>
  <c r="B46" i="18"/>
  <c r="B45" i="18"/>
  <c r="B44" i="18"/>
  <c r="C42" i="18"/>
  <c r="C66" i="18" s="1"/>
  <c r="D38" i="18"/>
  <c r="D62" i="18" s="1"/>
  <c r="J19" i="18"/>
  <c r="D43" i="18"/>
  <c r="D67" i="18" s="1"/>
  <c r="D91" i="18" s="1"/>
  <c r="D103" i="18" s="1"/>
  <c r="D115" i="18" s="1"/>
  <c r="D127" i="18" s="1"/>
  <c r="D139" i="18" s="1"/>
  <c r="D151" i="18" s="1"/>
  <c r="D163" i="18" s="1"/>
  <c r="D175" i="18" s="1"/>
  <c r="B31" i="18"/>
  <c r="D42" i="18"/>
  <c r="D54" i="18" s="1"/>
  <c r="B30" i="18"/>
  <c r="D41" i="18"/>
  <c r="D65" i="18" s="1"/>
  <c r="B29" i="18"/>
  <c r="B28" i="18"/>
  <c r="C39" i="18"/>
  <c r="C63" i="18" s="1"/>
  <c r="C87" i="18" s="1"/>
  <c r="C99" i="18" s="1"/>
  <c r="C111" i="18" s="1"/>
  <c r="C123" i="18" s="1"/>
  <c r="C135" i="18" s="1"/>
  <c r="C147" i="18" s="1"/>
  <c r="C159" i="18" s="1"/>
  <c r="D39" i="18"/>
  <c r="D51" i="18" s="1"/>
  <c r="B27" i="18"/>
  <c r="B26" i="18"/>
  <c r="B25" i="18"/>
  <c r="B24" i="18"/>
  <c r="B23" i="18"/>
  <c r="B22" i="18"/>
  <c r="B21" i="18"/>
  <c r="D32" i="18"/>
  <c r="D44" i="18" s="1"/>
  <c r="B16" i="18"/>
  <c r="J1" i="18"/>
  <c r="C43" i="18"/>
  <c r="C55" i="18" s="1"/>
  <c r="B175" i="18"/>
  <c r="B174" i="18"/>
  <c r="B173" i="18"/>
  <c r="B172" i="18"/>
  <c r="B171" i="18"/>
  <c r="C38" i="18"/>
  <c r="C50" i="18" s="1"/>
  <c r="B170" i="18"/>
  <c r="C37" i="18"/>
  <c r="C49" i="18" s="1"/>
  <c r="B169" i="18"/>
  <c r="B168" i="18"/>
  <c r="B167" i="18"/>
  <c r="B166" i="18"/>
  <c r="C33" i="18"/>
  <c r="C45" i="18" s="1"/>
  <c r="B165" i="18"/>
  <c r="C32" i="18"/>
  <c r="C44" i="18" s="1"/>
  <c r="B164" i="18"/>
  <c r="B211" i="18"/>
  <c r="B210" i="18"/>
  <c r="B209" i="18"/>
  <c r="B208" i="18"/>
  <c r="B207" i="18"/>
  <c r="B206" i="18"/>
  <c r="B205" i="18"/>
  <c r="B204" i="18"/>
  <c r="B203" i="18"/>
  <c r="B202" i="18"/>
  <c r="B201" i="18"/>
  <c r="B200" i="18"/>
  <c r="B199" i="18"/>
  <c r="B198" i="18"/>
  <c r="B197" i="18"/>
  <c r="B196" i="18"/>
  <c r="B195" i="18"/>
  <c r="B194" i="18"/>
  <c r="B193" i="18"/>
  <c r="B192" i="18"/>
  <c r="B191" i="18"/>
  <c r="B190" i="18"/>
  <c r="B189" i="18"/>
  <c r="B188" i="18"/>
  <c r="B187" i="18"/>
  <c r="B186" i="18"/>
  <c r="B185" i="18"/>
  <c r="B184" i="18"/>
  <c r="B183" i="18"/>
  <c r="B182" i="18"/>
  <c r="B181" i="18"/>
  <c r="B180" i="18"/>
  <c r="B179" i="18"/>
  <c r="B178" i="18"/>
  <c r="B177" i="18"/>
  <c r="B176" i="18"/>
  <c r="B163" i="18"/>
  <c r="B162" i="18"/>
  <c r="B161" i="18"/>
  <c r="B160" i="18"/>
  <c r="B159" i="18"/>
  <c r="B158" i="18"/>
  <c r="B157" i="18"/>
  <c r="B156" i="18"/>
  <c r="B155" i="18"/>
  <c r="B154" i="18"/>
  <c r="B153" i="18"/>
  <c r="B152" i="18"/>
  <c r="B151" i="18"/>
  <c r="B150" i="18"/>
  <c r="B149" i="18"/>
  <c r="B148" i="18"/>
  <c r="B147" i="18"/>
  <c r="B146" i="18"/>
  <c r="B145" i="18"/>
  <c r="B144" i="18"/>
  <c r="B143" i="18"/>
  <c r="B142" i="18"/>
  <c r="B141" i="18"/>
  <c r="B140" i="18"/>
  <c r="B139" i="18"/>
  <c r="B138" i="18"/>
  <c r="B137" i="18"/>
  <c r="B136" i="18"/>
  <c r="B135" i="18"/>
  <c r="B134" i="18"/>
  <c r="B133" i="18"/>
  <c r="B132" i="18"/>
  <c r="B131" i="18"/>
  <c r="B130" i="18"/>
  <c r="B129" i="18"/>
  <c r="B128" i="18"/>
  <c r="B127" i="18"/>
  <c r="B126" i="18"/>
  <c r="B125" i="18"/>
  <c r="B124" i="18"/>
  <c r="B123" i="18"/>
  <c r="B122" i="18"/>
  <c r="B121" i="18"/>
  <c r="B120" i="18"/>
  <c r="B119" i="18"/>
  <c r="B118" i="18"/>
  <c r="B117" i="18"/>
  <c r="B116" i="18"/>
  <c r="B115" i="18"/>
  <c r="B114" i="18"/>
  <c r="B113" i="18"/>
  <c r="B112" i="18"/>
  <c r="B111" i="18"/>
  <c r="B110" i="18"/>
  <c r="B109" i="18"/>
  <c r="B108" i="18"/>
  <c r="B107" i="18"/>
  <c r="B106" i="18"/>
  <c r="B105" i="18"/>
  <c r="B104" i="18"/>
  <c r="B103" i="18"/>
  <c r="B102" i="18"/>
  <c r="B101" i="18"/>
  <c r="B100" i="18"/>
  <c r="B99" i="18"/>
  <c r="B98" i="18"/>
  <c r="B97" i="18"/>
  <c r="B96" i="18"/>
  <c r="B95" i="18"/>
  <c r="B94" i="18"/>
  <c r="B93" i="18"/>
  <c r="B92" i="18"/>
  <c r="B91" i="18"/>
  <c r="B90" i="18"/>
  <c r="B89" i="18"/>
  <c r="B88" i="18"/>
  <c r="B87" i="18"/>
  <c r="B86" i="18"/>
  <c r="B85" i="18"/>
  <c r="B84" i="18"/>
  <c r="B83" i="18"/>
  <c r="B82" i="18"/>
  <c r="B81" i="18"/>
  <c r="B80" i="18"/>
  <c r="B67" i="18"/>
  <c r="B66" i="18"/>
  <c r="B65" i="18"/>
  <c r="B64" i="18"/>
  <c r="B63" i="18"/>
  <c r="B62" i="18"/>
  <c r="B61" i="18"/>
  <c r="B60" i="18"/>
  <c r="B59" i="18"/>
  <c r="B58" i="18"/>
  <c r="B57" i="18"/>
  <c r="B56" i="18"/>
  <c r="B43" i="18"/>
  <c r="B42" i="18"/>
  <c r="B41" i="18"/>
  <c r="B40" i="18"/>
  <c r="B39" i="18"/>
  <c r="B38" i="18"/>
  <c r="B37" i="18"/>
  <c r="B36" i="18"/>
  <c r="B35" i="18"/>
  <c r="B34" i="18"/>
  <c r="B33" i="18"/>
  <c r="B32" i="18"/>
  <c r="B20" i="18"/>
  <c r="C35" i="18"/>
  <c r="C34" i="18"/>
  <c r="C46" i="18" s="1"/>
  <c r="C41" i="18"/>
  <c r="C65" i="18" s="1"/>
  <c r="D36" i="18"/>
  <c r="D48" i="18" s="1"/>
  <c r="C36" i="18"/>
  <c r="C60" i="18" s="1"/>
  <c r="C84" i="18" s="1"/>
  <c r="C96" i="18" s="1"/>
  <c r="C108" i="18" s="1"/>
  <c r="C120" i="18" s="1"/>
  <c r="C132" i="18" s="1"/>
  <c r="C144" i="18" s="1"/>
  <c r="C156" i="18" s="1"/>
  <c r="C40" i="18"/>
  <c r="C52" i="18" s="1"/>
  <c r="D35" i="18"/>
  <c r="D59" i="18" s="1"/>
  <c r="D83" i="18" s="1"/>
  <c r="D95" i="18" s="1"/>
  <c r="D107" i="18" s="1"/>
  <c r="D119" i="18" s="1"/>
  <c r="D131" i="18" s="1"/>
  <c r="D143" i="18" s="1"/>
  <c r="D155" i="18" s="1"/>
  <c r="D37" i="18"/>
  <c r="D61" i="18" s="1"/>
  <c r="D40" i="18"/>
  <c r="D33" i="18"/>
  <c r="D45" i="18" s="1"/>
  <c r="D34" i="18"/>
  <c r="D58" i="18" s="1"/>
  <c r="D55" i="18"/>
  <c r="D27" i="29"/>
  <c r="D23" i="29"/>
  <c r="H36" i="29"/>
  <c r="D35" i="29"/>
  <c r="H23" i="29"/>
  <c r="E27" i="29"/>
  <c r="D25" i="29"/>
  <c r="E35" i="29"/>
  <c r="H37" i="29"/>
  <c r="D30" i="29"/>
  <c r="H26" i="29"/>
  <c r="G26" i="29"/>
  <c r="D31" i="29"/>
  <c r="H24" i="29"/>
  <c r="H21" i="29"/>
  <c r="G24" i="29"/>
  <c r="D29" i="29"/>
  <c r="E37" i="29"/>
  <c r="H35" i="29"/>
  <c r="G37" i="29"/>
  <c r="H33" i="29"/>
  <c r="E36" i="29"/>
  <c r="D22" i="29"/>
  <c r="H28" i="29"/>
  <c r="E22" i="29"/>
  <c r="G30" i="29"/>
  <c r="H31" i="29"/>
  <c r="H22" i="29"/>
  <c r="D37" i="29"/>
  <c r="E33" i="29"/>
  <c r="H25" i="29"/>
  <c r="G25" i="29"/>
  <c r="G22" i="29"/>
  <c r="H30" i="29"/>
  <c r="E31" i="29"/>
  <c r="E30" i="29"/>
  <c r="E24" i="29"/>
  <c r="H27" i="29"/>
  <c r="E25" i="29"/>
  <c r="G31" i="29"/>
  <c r="E32" i="29"/>
  <c r="G23" i="29"/>
  <c r="G36" i="29"/>
  <c r="D26" i="29"/>
  <c r="D32" i="29"/>
  <c r="G21" i="29"/>
  <c r="G35" i="29"/>
  <c r="D24" i="29"/>
  <c r="D33" i="29"/>
  <c r="G29" i="29"/>
  <c r="E23" i="29"/>
  <c r="H32" i="29"/>
  <c r="G33" i="29"/>
  <c r="H29" i="29"/>
  <c r="E29" i="29"/>
  <c r="E21" i="29"/>
  <c r="G28" i="29"/>
  <c r="G27" i="29"/>
  <c r="D28" i="29"/>
  <c r="G32" i="29"/>
  <c r="E26" i="29"/>
  <c r="D21" i="29"/>
  <c r="E28" i="29"/>
  <c r="D36" i="29"/>
  <c r="D66" i="18" l="1"/>
  <c r="D78" i="18" s="1"/>
  <c r="C57" i="18"/>
  <c r="C81" i="18" s="1"/>
  <c r="C93" i="18" s="1"/>
  <c r="C105" i="18" s="1"/>
  <c r="C117" i="18" s="1"/>
  <c r="C129" i="18" s="1"/>
  <c r="C141" i="18" s="1"/>
  <c r="C153" i="18" s="1"/>
  <c r="C165" i="18" s="1"/>
  <c r="D79" i="18"/>
  <c r="D63" i="18"/>
  <c r="D87" i="18" s="1"/>
  <c r="D99" i="18" s="1"/>
  <c r="D111" i="18" s="1"/>
  <c r="D123" i="18" s="1"/>
  <c r="D135" i="18" s="1"/>
  <c r="D147" i="18" s="1"/>
  <c r="D159" i="18" s="1"/>
  <c r="D171" i="18" s="1"/>
  <c r="C51" i="18"/>
  <c r="C61" i="18"/>
  <c r="C73" i="18" s="1"/>
  <c r="D50" i="18"/>
  <c r="C64" i="18"/>
  <c r="C76" i="18" s="1"/>
  <c r="C56" i="18"/>
  <c r="C80" i="18" s="1"/>
  <c r="C92" i="18" s="1"/>
  <c r="C104" i="18" s="1"/>
  <c r="C116" i="18" s="1"/>
  <c r="C128" i="18" s="1"/>
  <c r="C140" i="18" s="1"/>
  <c r="C152" i="18" s="1"/>
  <c r="C164" i="18" s="1"/>
  <c r="C75" i="18"/>
  <c r="D53" i="18"/>
  <c r="C54" i="18"/>
  <c r="C53" i="18"/>
  <c r="D46" i="18"/>
  <c r="F10" i="29"/>
  <c r="D20" i="29"/>
  <c r="E20" i="29"/>
  <c r="C78" i="18"/>
  <c r="C90" i="18"/>
  <c r="C102" i="18" s="1"/>
  <c r="C114" i="18" s="1"/>
  <c r="C126" i="18" s="1"/>
  <c r="C138" i="18" s="1"/>
  <c r="C150" i="18" s="1"/>
  <c r="C162" i="18" s="1"/>
  <c r="C186" i="18" s="1"/>
  <c r="C198" i="18" s="1"/>
  <c r="C210" i="18" s="1"/>
  <c r="D57" i="18"/>
  <c r="D81" i="18" s="1"/>
  <c r="D93" i="18" s="1"/>
  <c r="D105" i="18" s="1"/>
  <c r="D117" i="18" s="1"/>
  <c r="D129" i="18" s="1"/>
  <c r="D141" i="18" s="1"/>
  <c r="D153" i="18" s="1"/>
  <c r="C72" i="18"/>
  <c r="C3" i="29"/>
  <c r="E10" i="29"/>
  <c r="O13" i="18"/>
  <c r="C67" i="18"/>
  <c r="C79" i="18" s="1"/>
  <c r="D77" i="18"/>
  <c r="D89" i="18"/>
  <c r="D101" i="18" s="1"/>
  <c r="D113" i="18" s="1"/>
  <c r="D125" i="18" s="1"/>
  <c r="D137" i="18" s="1"/>
  <c r="D149" i="18" s="1"/>
  <c r="D161" i="18" s="1"/>
  <c r="D173" i="18" s="1"/>
  <c r="D74" i="18"/>
  <c r="D86" i="18"/>
  <c r="D98" i="18" s="1"/>
  <c r="D110" i="18" s="1"/>
  <c r="D122" i="18" s="1"/>
  <c r="D134" i="18" s="1"/>
  <c r="D146" i="18" s="1"/>
  <c r="D158" i="18" s="1"/>
  <c r="D170" i="18" s="1"/>
  <c r="C62" i="18"/>
  <c r="D49" i="18"/>
  <c r="D60" i="18"/>
  <c r="D72" i="18" s="1"/>
  <c r="C48" i="18"/>
  <c r="D71" i="18"/>
  <c r="C58" i="18"/>
  <c r="D56" i="18"/>
  <c r="D80" i="18" s="1"/>
  <c r="D92" i="18" s="1"/>
  <c r="D104" i="18" s="1"/>
  <c r="D116" i="18" s="1"/>
  <c r="D128" i="18" s="1"/>
  <c r="D140" i="18" s="1"/>
  <c r="D152" i="18" s="1"/>
  <c r="F29" i="29"/>
  <c r="I29" i="29" s="1"/>
  <c r="F32" i="29"/>
  <c r="I32" i="29" s="1"/>
  <c r="F24" i="29"/>
  <c r="I24" i="29" s="1"/>
  <c r="F30" i="29"/>
  <c r="I30" i="29" s="1"/>
  <c r="H34" i="29"/>
  <c r="F37" i="29"/>
  <c r="I37" i="29" s="1"/>
  <c r="G34" i="29"/>
  <c r="F27" i="29"/>
  <c r="I27" i="29" s="1"/>
  <c r="F33" i="29"/>
  <c r="I33" i="29" s="1"/>
  <c r="E34" i="29"/>
  <c r="F22" i="29"/>
  <c r="I22" i="29" s="1"/>
  <c r="H38" i="29"/>
  <c r="F21" i="29"/>
  <c r="D34" i="29"/>
  <c r="F35" i="29"/>
  <c r="D38" i="29"/>
  <c r="F25" i="29"/>
  <c r="I25" i="29" s="1"/>
  <c r="F28" i="29"/>
  <c r="I28" i="29" s="1"/>
  <c r="E38" i="29"/>
  <c r="F31" i="29"/>
  <c r="I31" i="29" s="1"/>
  <c r="G38" i="29"/>
  <c r="F36" i="29"/>
  <c r="I36" i="29" s="1"/>
  <c r="F26" i="29"/>
  <c r="I26" i="29" s="1"/>
  <c r="F23" i="29"/>
  <c r="I23" i="29" s="1"/>
  <c r="C180" i="18"/>
  <c r="C192" i="18" s="1"/>
  <c r="C204" i="18" s="1"/>
  <c r="C168" i="18"/>
  <c r="O14" i="18"/>
  <c r="C171" i="18"/>
  <c r="C183" i="18"/>
  <c r="C195" i="18" s="1"/>
  <c r="C207" i="18" s="1"/>
  <c r="D167" i="18"/>
  <c r="D179" i="18"/>
  <c r="D191" i="18" s="1"/>
  <c r="D203" i="18" s="1"/>
  <c r="D70" i="18"/>
  <c r="D82" i="18"/>
  <c r="D94" i="18" s="1"/>
  <c r="D106" i="18" s="1"/>
  <c r="D118" i="18" s="1"/>
  <c r="D130" i="18" s="1"/>
  <c r="D142" i="18" s="1"/>
  <c r="D154" i="18" s="1"/>
  <c r="C47" i="18"/>
  <c r="C59" i="18"/>
  <c r="D187" i="18"/>
  <c r="D199" i="18" s="1"/>
  <c r="D211" i="18" s="1"/>
  <c r="D85" i="18"/>
  <c r="D97" i="18" s="1"/>
  <c r="D109" i="18" s="1"/>
  <c r="D121" i="18" s="1"/>
  <c r="D133" i="18" s="1"/>
  <c r="D145" i="18" s="1"/>
  <c r="D157" i="18" s="1"/>
  <c r="D73" i="18"/>
  <c r="D47" i="18"/>
  <c r="C89" i="18"/>
  <c r="C101" i="18" s="1"/>
  <c r="C113" i="18" s="1"/>
  <c r="C125" i="18" s="1"/>
  <c r="C137" i="18" s="1"/>
  <c r="C149" i="18" s="1"/>
  <c r="C161" i="18" s="1"/>
  <c r="C77" i="18"/>
  <c r="D64" i="18"/>
  <c r="D52" i="18"/>
  <c r="D183" i="18" l="1"/>
  <c r="D195" i="18" s="1"/>
  <c r="D207" i="18" s="1"/>
  <c r="C91" i="18"/>
  <c r="C103" i="18" s="1"/>
  <c r="C115" i="18" s="1"/>
  <c r="C127" i="18" s="1"/>
  <c r="C139" i="18" s="1"/>
  <c r="C151" i="18" s="1"/>
  <c r="C163" i="18" s="1"/>
  <c r="C175" i="18" s="1"/>
  <c r="D75" i="18"/>
  <c r="C69" i="18"/>
  <c r="C174" i="18"/>
  <c r="D90" i="18"/>
  <c r="D102" i="18" s="1"/>
  <c r="D114" i="18" s="1"/>
  <c r="D126" i="18" s="1"/>
  <c r="D138" i="18" s="1"/>
  <c r="D150" i="18" s="1"/>
  <c r="D162" i="18" s="1"/>
  <c r="D174" i="18" s="1"/>
  <c r="C176" i="18"/>
  <c r="C188" i="18" s="1"/>
  <c r="C200" i="18" s="1"/>
  <c r="C177" i="18"/>
  <c r="C189" i="18" s="1"/>
  <c r="C201" i="18" s="1"/>
  <c r="C68" i="18"/>
  <c r="C88" i="18"/>
  <c r="C100" i="18" s="1"/>
  <c r="C112" i="18" s="1"/>
  <c r="C124" i="18" s="1"/>
  <c r="C136" i="18" s="1"/>
  <c r="C148" i="18" s="1"/>
  <c r="C160" i="18" s="1"/>
  <c r="C172" i="18" s="1"/>
  <c r="C85" i="18"/>
  <c r="C97" i="18" s="1"/>
  <c r="C109" i="18" s="1"/>
  <c r="C121" i="18" s="1"/>
  <c r="C133" i="18" s="1"/>
  <c r="C145" i="18" s="1"/>
  <c r="C157" i="18" s="1"/>
  <c r="C181" i="18" s="1"/>
  <c r="C193" i="18" s="1"/>
  <c r="C205" i="18" s="1"/>
  <c r="D84" i="18"/>
  <c r="D96" i="18" s="1"/>
  <c r="D108" i="18" s="1"/>
  <c r="D120" i="18" s="1"/>
  <c r="D132" i="18" s="1"/>
  <c r="D144" i="18" s="1"/>
  <c r="D156" i="18" s="1"/>
  <c r="D168" i="18" s="1"/>
  <c r="D69" i="18"/>
  <c r="D185" i="18"/>
  <c r="D197" i="18" s="1"/>
  <c r="D209" i="18" s="1"/>
  <c r="D68" i="18"/>
  <c r="D182" i="18"/>
  <c r="D194" i="18" s="1"/>
  <c r="D206" i="18" s="1"/>
  <c r="G39" i="29"/>
  <c r="C86" i="18"/>
  <c r="C98" i="18" s="1"/>
  <c r="C110" i="18" s="1"/>
  <c r="C122" i="18" s="1"/>
  <c r="C134" i="18" s="1"/>
  <c r="C146" i="18" s="1"/>
  <c r="C158" i="18" s="1"/>
  <c r="C74" i="18"/>
  <c r="C82" i="18"/>
  <c r="C94" i="18" s="1"/>
  <c r="C106" i="18" s="1"/>
  <c r="C118" i="18" s="1"/>
  <c r="C130" i="18" s="1"/>
  <c r="C142" i="18" s="1"/>
  <c r="C154" i="18" s="1"/>
  <c r="C70" i="18"/>
  <c r="D177" i="18"/>
  <c r="D189" i="18" s="1"/>
  <c r="D201" i="18" s="1"/>
  <c r="D165" i="18"/>
  <c r="D164" i="18"/>
  <c r="D176" i="18"/>
  <c r="D188" i="18" s="1"/>
  <c r="D200" i="18" s="1"/>
  <c r="I35" i="29"/>
  <c r="F38" i="29"/>
  <c r="P13" i="18"/>
  <c r="C173" i="18"/>
  <c r="C185" i="18"/>
  <c r="C197" i="18" s="1"/>
  <c r="C209" i="18" s="1"/>
  <c r="P14" i="18"/>
  <c r="P212" i="18"/>
  <c r="D166" i="18"/>
  <c r="D178" i="18"/>
  <c r="D190" i="18" s="1"/>
  <c r="D202" i="18" s="1"/>
  <c r="D39" i="29"/>
  <c r="E39" i="29"/>
  <c r="D88" i="18"/>
  <c r="D100" i="18" s="1"/>
  <c r="D112" i="18" s="1"/>
  <c r="D124" i="18" s="1"/>
  <c r="D136" i="18" s="1"/>
  <c r="D148" i="18" s="1"/>
  <c r="D160" i="18" s="1"/>
  <c r="D76" i="18"/>
  <c r="D181" i="18"/>
  <c r="D193" i="18" s="1"/>
  <c r="D205" i="18" s="1"/>
  <c r="D169" i="18"/>
  <c r="C83" i="18"/>
  <c r="C95" i="18" s="1"/>
  <c r="C107" i="18" s="1"/>
  <c r="C119" i="18" s="1"/>
  <c r="C131" i="18" s="1"/>
  <c r="C143" i="18" s="1"/>
  <c r="C155" i="18" s="1"/>
  <c r="C71" i="18"/>
  <c r="F34" i="29"/>
  <c r="I21" i="29"/>
  <c r="H39" i="29"/>
  <c r="C187" i="18" l="1"/>
  <c r="C199" i="18" s="1"/>
  <c r="C211" i="18" s="1"/>
  <c r="C169" i="18"/>
  <c r="D186" i="18"/>
  <c r="D198" i="18" s="1"/>
  <c r="D210" i="18" s="1"/>
  <c r="C184" i="18"/>
  <c r="C196" i="18" s="1"/>
  <c r="C208" i="18" s="1"/>
  <c r="D180" i="18"/>
  <c r="D192" i="18" s="1"/>
  <c r="D204" i="18" s="1"/>
  <c r="F39" i="29"/>
  <c r="Q13" i="18"/>
  <c r="Q14" i="18"/>
  <c r="C170" i="18"/>
  <c r="C182" i="18"/>
  <c r="C194" i="18" s="1"/>
  <c r="C206" i="18" s="1"/>
  <c r="C178" i="18"/>
  <c r="C190" i="18" s="1"/>
  <c r="C202" i="18" s="1"/>
  <c r="C166" i="18"/>
  <c r="I34" i="29"/>
  <c r="I38" i="29"/>
  <c r="C167" i="18"/>
  <c r="C179" i="18"/>
  <c r="C191" i="18" s="1"/>
  <c r="C203" i="18" s="1"/>
  <c r="D184" i="18"/>
  <c r="D196" i="18" s="1"/>
  <c r="D208" i="18" s="1"/>
  <c r="D172" i="18"/>
  <c r="I39" i="29" l="1"/>
  <c r="G212" i="18" l="1"/>
  <c r="E11" i="29" l="1"/>
  <c r="H101" i="18" l="1"/>
  <c r="K101" i="18" s="1"/>
  <c r="H119" i="18"/>
  <c r="K119" i="18" s="1"/>
  <c r="H32" i="18"/>
  <c r="K32" i="18" s="1"/>
  <c r="H146" i="18"/>
  <c r="K146" i="18" s="1"/>
  <c r="H132" i="18"/>
  <c r="K132" i="18" s="1"/>
  <c r="H79" i="18"/>
  <c r="K79" i="18" s="1"/>
  <c r="H172" i="18"/>
  <c r="K172" i="18" s="1"/>
  <c r="H157" i="18"/>
  <c r="K157" i="18" s="1"/>
  <c r="H155" i="18"/>
  <c r="K155" i="18" s="1"/>
  <c r="H84" i="18"/>
  <c r="K84" i="18" s="1"/>
  <c r="H51" i="18"/>
  <c r="K51" i="18" s="1"/>
  <c r="H78" i="18"/>
  <c r="K78" i="18" s="1"/>
  <c r="H120" i="18"/>
  <c r="K120" i="18" s="1"/>
  <c r="H21" i="18"/>
  <c r="K21" i="18" s="1"/>
  <c r="H90" i="18"/>
  <c r="K90" i="18" s="1"/>
  <c r="H109" i="18"/>
  <c r="K109" i="18" s="1"/>
  <c r="H170" i="18"/>
  <c r="K170" i="18" s="1"/>
  <c r="H81" i="18"/>
  <c r="K81" i="18" s="1"/>
  <c r="H125" i="18"/>
  <c r="K125" i="18" s="1"/>
  <c r="H166" i="18"/>
  <c r="K166" i="18" s="1"/>
  <c r="H89" i="18"/>
  <c r="K89" i="18" s="1"/>
  <c r="H67" i="18"/>
  <c r="K67" i="18" s="1"/>
  <c r="H127" i="18"/>
  <c r="K127" i="18" s="1"/>
  <c r="H123" i="18"/>
  <c r="K123" i="18" s="1"/>
  <c r="H134" i="18"/>
  <c r="K134" i="18" s="1"/>
  <c r="H162" i="18"/>
  <c r="K162" i="18" s="1"/>
  <c r="H31" i="18"/>
  <c r="K31" i="18" s="1"/>
  <c r="H167" i="18"/>
  <c r="K167" i="18" s="1"/>
  <c r="H24" i="18"/>
  <c r="K24" i="18" s="1"/>
  <c r="H154" i="18"/>
  <c r="K154" i="18" s="1"/>
  <c r="H23" i="18"/>
  <c r="K23" i="18" s="1"/>
  <c r="H211" i="18"/>
  <c r="K211" i="18" s="1"/>
  <c r="H139" i="18"/>
  <c r="K139" i="18" s="1"/>
  <c r="H70" i="18"/>
  <c r="K70" i="18" s="1"/>
  <c r="H64" i="18"/>
  <c r="K64" i="18" s="1"/>
  <c r="H104" i="18"/>
  <c r="K104" i="18" s="1"/>
  <c r="H30" i="18"/>
  <c r="K30" i="18" s="1"/>
  <c r="H177" i="18"/>
  <c r="K177" i="18" s="1"/>
  <c r="H185" i="18"/>
  <c r="K185" i="18" s="1"/>
  <c r="H44" i="18"/>
  <c r="K44" i="18" s="1"/>
  <c r="H206" i="18"/>
  <c r="K206" i="18" s="1"/>
  <c r="H148" i="18"/>
  <c r="K148" i="18" s="1"/>
  <c r="H196" i="18"/>
  <c r="K196" i="18" s="1"/>
  <c r="H204" i="18"/>
  <c r="K204" i="18" s="1"/>
  <c r="H86" i="18"/>
  <c r="K86" i="18" s="1"/>
  <c r="H201" i="18"/>
  <c r="K201" i="18" s="1"/>
  <c r="H83" i="18"/>
  <c r="K83" i="18" s="1"/>
  <c r="H158" i="18"/>
  <c r="K158" i="18" s="1"/>
  <c r="H33" i="18"/>
  <c r="K33" i="18" s="1"/>
  <c r="H191" i="18"/>
  <c r="K191" i="18" s="1"/>
  <c r="H92" i="18"/>
  <c r="K92" i="18" s="1"/>
  <c r="H87" i="18"/>
  <c r="K87" i="18" s="1"/>
  <c r="H80" i="18"/>
  <c r="K80" i="18" s="1"/>
  <c r="H114" i="18"/>
  <c r="K114" i="18" s="1"/>
  <c r="H181" i="18"/>
  <c r="K181" i="18" s="1"/>
  <c r="H47" i="18"/>
  <c r="K47" i="18" s="1"/>
  <c r="H141" i="18"/>
  <c r="K141" i="18" s="1"/>
  <c r="H95" i="18"/>
  <c r="K95" i="18" s="1"/>
  <c r="H59" i="18"/>
  <c r="K59" i="18" s="1"/>
  <c r="H133" i="18"/>
  <c r="K133" i="18" s="1"/>
  <c r="H178" i="18"/>
  <c r="K178" i="18" s="1"/>
  <c r="H96" i="18"/>
  <c r="K96" i="18" s="1"/>
  <c r="H97" i="18"/>
  <c r="K97" i="18" s="1"/>
  <c r="H192" i="18"/>
  <c r="K192" i="18" s="1"/>
  <c r="H136" i="18"/>
  <c r="K136" i="18" s="1"/>
  <c r="H203" i="18"/>
  <c r="K203" i="18" s="1"/>
  <c r="H138" i="18"/>
  <c r="K138" i="18" s="1"/>
  <c r="H145" i="18"/>
  <c r="K145" i="18" s="1"/>
  <c r="H199" i="18"/>
  <c r="K199" i="18" s="1"/>
  <c r="H153" i="18"/>
  <c r="K153" i="18" s="1"/>
  <c r="H27" i="18"/>
  <c r="K27" i="18" s="1"/>
  <c r="H66" i="18"/>
  <c r="K66" i="18" s="1"/>
  <c r="H117" i="18"/>
  <c r="K117" i="18" s="1"/>
  <c r="H116" i="18"/>
  <c r="K116" i="18" s="1"/>
  <c r="H94" i="18"/>
  <c r="K94" i="18" s="1"/>
  <c r="H137" i="18"/>
  <c r="K137" i="18" s="1"/>
  <c r="H76" i="18"/>
  <c r="K76" i="18" s="1"/>
  <c r="H180" i="18"/>
  <c r="K180" i="18" s="1"/>
  <c r="H25" i="18"/>
  <c r="K25" i="18" s="1"/>
  <c r="H26" i="18"/>
  <c r="K26" i="18" s="1"/>
  <c r="H75" i="18"/>
  <c r="K75" i="18" s="1"/>
  <c r="H71" i="18"/>
  <c r="K71" i="18" s="1"/>
  <c r="H56" i="18"/>
  <c r="K56" i="18" s="1"/>
  <c r="H205" i="18"/>
  <c r="K205" i="18" s="1"/>
  <c r="H175" i="18"/>
  <c r="K175" i="18" s="1"/>
  <c r="H115" i="18"/>
  <c r="K115" i="18" s="1"/>
  <c r="H63" i="18"/>
  <c r="K63" i="18" s="1"/>
  <c r="H168" i="18"/>
  <c r="K168" i="18" s="1"/>
  <c r="H195" i="18"/>
  <c r="K195" i="18" s="1"/>
  <c r="H151" i="18"/>
  <c r="K151" i="18" s="1"/>
  <c r="H210" i="18"/>
  <c r="K210" i="18" s="1"/>
  <c r="H143" i="18"/>
  <c r="K143" i="18" s="1"/>
  <c r="H52" i="18"/>
  <c r="K52" i="18" s="1"/>
  <c r="H142" i="18"/>
  <c r="K142" i="18" s="1"/>
  <c r="H197" i="18"/>
  <c r="K197" i="18" s="1"/>
  <c r="H20" i="18"/>
  <c r="K20" i="18" s="1"/>
  <c r="H38" i="18"/>
  <c r="K38" i="18" s="1"/>
  <c r="H173" i="18"/>
  <c r="K173" i="18" s="1"/>
  <c r="H34" i="18"/>
  <c r="K34" i="18" s="1"/>
  <c r="H55" i="18"/>
  <c r="K55" i="18" s="1"/>
  <c r="H144" i="18"/>
  <c r="K144" i="18" s="1"/>
  <c r="H37" i="18"/>
  <c r="K37" i="18" s="1"/>
  <c r="H124" i="18"/>
  <c r="K124" i="18" s="1"/>
  <c r="H174" i="18"/>
  <c r="K174" i="18" s="1"/>
  <c r="H131" i="18"/>
  <c r="K131" i="18" s="1"/>
  <c r="H190" i="18"/>
  <c r="K190" i="18" s="1"/>
  <c r="H122" i="18"/>
  <c r="K122" i="18" s="1"/>
  <c r="H77" i="18"/>
  <c r="K77" i="18" s="1"/>
  <c r="H82" i="18"/>
  <c r="K82" i="18" s="1"/>
  <c r="H28" i="18"/>
  <c r="K28" i="18" s="1"/>
  <c r="H46" i="18"/>
  <c r="K46" i="18" s="1"/>
  <c r="H169" i="18"/>
  <c r="K169" i="18" s="1"/>
  <c r="H113" i="18"/>
  <c r="K113" i="18" s="1"/>
  <c r="H171" i="18"/>
  <c r="K171" i="18" s="1"/>
  <c r="H106" i="18"/>
  <c r="K106" i="18" s="1"/>
  <c r="H209" i="18"/>
  <c r="K209" i="18" s="1"/>
  <c r="H102" i="18"/>
  <c r="K102" i="18" s="1"/>
  <c r="H126" i="18"/>
  <c r="K126" i="18" s="1"/>
  <c r="H208" i="18"/>
  <c r="K208" i="18" s="1"/>
  <c r="H88" i="18"/>
  <c r="K88" i="18" s="1"/>
  <c r="H110" i="18"/>
  <c r="K110" i="18" s="1"/>
  <c r="H35" i="18"/>
  <c r="K35" i="18" s="1"/>
  <c r="H72" i="18"/>
  <c r="K72" i="18" s="1"/>
  <c r="H65" i="18"/>
  <c r="K65" i="18" s="1"/>
  <c r="H188" i="18"/>
  <c r="K188" i="18" s="1"/>
  <c r="H164" i="18"/>
  <c r="K164" i="18" s="1"/>
  <c r="H74" i="18"/>
  <c r="K74" i="18" s="1"/>
  <c r="H135" i="18"/>
  <c r="K135" i="18" s="1"/>
  <c r="H184" i="18"/>
  <c r="K184" i="18" s="1"/>
  <c r="H187" i="18"/>
  <c r="K187" i="18" s="1"/>
  <c r="H112" i="18"/>
  <c r="K112" i="18" s="1"/>
  <c r="H183" i="18"/>
  <c r="K183" i="18" s="1"/>
  <c r="H69" i="18"/>
  <c r="K69" i="18" s="1"/>
  <c r="H91" i="18"/>
  <c r="K91" i="18" s="1"/>
  <c r="H176" i="18"/>
  <c r="K176" i="18" s="1"/>
  <c r="E13" i="29"/>
  <c r="H62" i="18"/>
  <c r="K62" i="18" s="1"/>
  <c r="H182" i="18"/>
  <c r="K182" i="18" s="1"/>
  <c r="H60" i="18"/>
  <c r="K60" i="18" s="1"/>
  <c r="H152" i="18"/>
  <c r="K152" i="18" s="1"/>
  <c r="H93" i="18"/>
  <c r="K93" i="18" s="1"/>
  <c r="H42" i="18"/>
  <c r="K42" i="18" s="1"/>
  <c r="H130" i="18"/>
  <c r="K130" i="18" s="1"/>
  <c r="H128" i="18"/>
  <c r="K128" i="18" s="1"/>
  <c r="H54" i="18"/>
  <c r="K54" i="18" s="1"/>
  <c r="H179" i="18"/>
  <c r="K179" i="18" s="1"/>
  <c r="H165" i="18"/>
  <c r="K165" i="18" s="1"/>
  <c r="H50" i="18"/>
  <c r="K50" i="18" s="1"/>
  <c r="H41" i="18"/>
  <c r="K41" i="18" s="1"/>
  <c r="H85" i="18"/>
  <c r="K85" i="18" s="1"/>
  <c r="H29" i="18"/>
  <c r="K29" i="18" s="1"/>
  <c r="H107" i="18"/>
  <c r="K107" i="18" s="1"/>
  <c r="H48" i="18"/>
  <c r="K48" i="18" s="1"/>
  <c r="H40" i="18"/>
  <c r="K40" i="18" s="1"/>
  <c r="H103" i="18"/>
  <c r="K103" i="18" s="1"/>
  <c r="H53" i="18"/>
  <c r="K53" i="18" s="1"/>
  <c r="H36" i="18"/>
  <c r="K36" i="18" s="1"/>
  <c r="H161" i="18"/>
  <c r="K161" i="18" s="1"/>
  <c r="H49" i="18"/>
  <c r="K49" i="18" s="1"/>
  <c r="H200" i="18"/>
  <c r="K200" i="18" s="1"/>
  <c r="H189" i="18"/>
  <c r="K189" i="18" s="1"/>
  <c r="H150" i="18"/>
  <c r="K150" i="18" s="1"/>
  <c r="H121" i="18"/>
  <c r="K121" i="18" s="1"/>
  <c r="H22" i="18"/>
  <c r="K22" i="18" s="1"/>
  <c r="H207" i="18"/>
  <c r="K207" i="18" s="1"/>
  <c r="H160" i="18"/>
  <c r="K160" i="18" s="1"/>
  <c r="H58" i="18"/>
  <c r="K58" i="18" s="1"/>
  <c r="H105" i="18"/>
  <c r="K105" i="18" s="1"/>
  <c r="H100" i="18"/>
  <c r="K100" i="18" s="1"/>
  <c r="H147" i="18"/>
  <c r="K147" i="18" s="1"/>
  <c r="H111" i="18"/>
  <c r="K111" i="18" s="1"/>
  <c r="H163" i="18"/>
  <c r="K163" i="18" s="1"/>
  <c r="H159" i="18"/>
  <c r="K159" i="18" s="1"/>
  <c r="H140" i="18"/>
  <c r="K140" i="18" s="1"/>
  <c r="H156" i="18"/>
  <c r="K156" i="18" s="1"/>
  <c r="H61" i="18"/>
  <c r="K61" i="18" s="1"/>
  <c r="H118" i="18"/>
  <c r="K118" i="18" s="1"/>
  <c r="H129" i="18"/>
  <c r="K129" i="18" s="1"/>
  <c r="H73" i="18"/>
  <c r="K73" i="18" s="1"/>
  <c r="H149" i="18"/>
  <c r="K149" i="18" s="1"/>
  <c r="H194" i="18"/>
  <c r="K194" i="18" s="1"/>
  <c r="H43" i="18"/>
  <c r="K43" i="18" s="1"/>
  <c r="H39" i="18"/>
  <c r="K39" i="18" s="1"/>
  <c r="H57" i="18"/>
  <c r="K57" i="18" s="1"/>
  <c r="H68" i="18"/>
  <c r="K68" i="18" s="1"/>
  <c r="H193" i="18"/>
  <c r="K193" i="18" s="1"/>
  <c r="H45" i="18"/>
  <c r="K45" i="18" s="1"/>
  <c r="H108" i="18"/>
  <c r="K108" i="18" s="1"/>
  <c r="H98" i="18"/>
  <c r="K98" i="18" s="1"/>
  <c r="H186" i="18"/>
  <c r="K186" i="18" s="1"/>
  <c r="H202" i="18"/>
  <c r="K202" i="18" s="1"/>
  <c r="H198" i="18"/>
  <c r="K198" i="18" s="1"/>
  <c r="H99" i="18"/>
  <c r="K99" i="18" s="1"/>
  <c r="K212" i="18" l="1"/>
  <c r="K14" i="18"/>
  <c r="K13" i="18"/>
  <c r="F12" i="29" l="1"/>
  <c r="I155" i="18" l="1"/>
  <c r="J155" i="18" s="1"/>
  <c r="L155" i="18" s="1"/>
  <c r="I172" i="18"/>
  <c r="J172" i="18" s="1"/>
  <c r="L172" i="18" s="1"/>
  <c r="I73" i="18"/>
  <c r="J73" i="18" s="1"/>
  <c r="L73" i="18" s="1"/>
  <c r="I32" i="18"/>
  <c r="J32" i="18" s="1"/>
  <c r="L32" i="18" s="1"/>
  <c r="I46" i="18"/>
  <c r="J46" i="18" s="1"/>
  <c r="L46" i="18" s="1"/>
  <c r="I31" i="18"/>
  <c r="J31" i="18" s="1"/>
  <c r="L31" i="18" s="1"/>
  <c r="I179" i="18"/>
  <c r="J179" i="18" s="1"/>
  <c r="L179" i="18" s="1"/>
  <c r="I27" i="18"/>
  <c r="J27" i="18" s="1"/>
  <c r="L27" i="18" s="1"/>
  <c r="I26" i="18"/>
  <c r="J26" i="18" s="1"/>
  <c r="L26" i="18" s="1"/>
  <c r="I83" i="18"/>
  <c r="J83" i="18" s="1"/>
  <c r="L83" i="18" s="1"/>
  <c r="I141" i="18"/>
  <c r="J141" i="18" s="1"/>
  <c r="L141" i="18" s="1"/>
  <c r="I140" i="18"/>
  <c r="J140" i="18" s="1"/>
  <c r="L140" i="18" s="1"/>
  <c r="I58" i="18"/>
  <c r="J58" i="18" s="1"/>
  <c r="L58" i="18" s="1"/>
  <c r="I131" i="18"/>
  <c r="J131" i="18" s="1"/>
  <c r="L131" i="18" s="1"/>
  <c r="I191" i="18"/>
  <c r="J191" i="18" s="1"/>
  <c r="L191" i="18" s="1"/>
  <c r="I43" i="18"/>
  <c r="J43" i="18" s="1"/>
  <c r="L43" i="18" s="1"/>
  <c r="I44" i="18"/>
  <c r="J44" i="18" s="1"/>
  <c r="L44" i="18" s="1"/>
  <c r="I62" i="18"/>
  <c r="J62" i="18" s="1"/>
  <c r="L62" i="18" s="1"/>
  <c r="I206" i="18"/>
  <c r="J206" i="18" s="1"/>
  <c r="L206" i="18" s="1"/>
  <c r="I152" i="18"/>
  <c r="J152" i="18" s="1"/>
  <c r="L152" i="18" s="1"/>
  <c r="I154" i="18"/>
  <c r="J154" i="18" s="1"/>
  <c r="L154" i="18" s="1"/>
  <c r="I149" i="18"/>
  <c r="J149" i="18" s="1"/>
  <c r="L149" i="18" s="1"/>
  <c r="I93" i="18"/>
  <c r="J93" i="18" s="1"/>
  <c r="L93" i="18" s="1"/>
  <c r="I125" i="18"/>
  <c r="J125" i="18" s="1"/>
  <c r="L125" i="18" s="1"/>
  <c r="I211" i="18"/>
  <c r="J211" i="18" s="1"/>
  <c r="L211" i="18" s="1"/>
  <c r="I39" i="18"/>
  <c r="J39" i="18" s="1"/>
  <c r="L39" i="18" s="1"/>
  <c r="I196" i="18"/>
  <c r="J196" i="18" s="1"/>
  <c r="L196" i="18" s="1"/>
  <c r="I24" i="18"/>
  <c r="J24" i="18" s="1"/>
  <c r="L24" i="18" s="1"/>
  <c r="I195" i="18"/>
  <c r="J195" i="18" s="1"/>
  <c r="L195" i="18" s="1"/>
  <c r="I194" i="18"/>
  <c r="J194" i="18" s="1"/>
  <c r="L194" i="18" s="1"/>
  <c r="I166" i="18"/>
  <c r="J166" i="18" s="1"/>
  <c r="L166" i="18" s="1"/>
  <c r="I136" i="18"/>
  <c r="J136" i="18" s="1"/>
  <c r="L136" i="18" s="1"/>
  <c r="I120" i="18"/>
  <c r="J120" i="18" s="1"/>
  <c r="L120" i="18" s="1"/>
  <c r="I38" i="18"/>
  <c r="J38" i="18" s="1"/>
  <c r="L38" i="18" s="1"/>
  <c r="I89" i="18"/>
  <c r="J89" i="18" s="1"/>
  <c r="L89" i="18" s="1"/>
  <c r="I118" i="18"/>
  <c r="J118" i="18" s="1"/>
  <c r="L118" i="18" s="1"/>
  <c r="I180" i="18"/>
  <c r="J180" i="18" s="1"/>
  <c r="L180" i="18" s="1"/>
  <c r="I158" i="18"/>
  <c r="J158" i="18" s="1"/>
  <c r="L158" i="18" s="1"/>
  <c r="I129" i="18"/>
  <c r="J129" i="18" s="1"/>
  <c r="L129" i="18" s="1"/>
  <c r="I111" i="18"/>
  <c r="J111" i="18" s="1"/>
  <c r="L111" i="18" s="1"/>
  <c r="I78" i="18"/>
  <c r="J78" i="18" s="1"/>
  <c r="L78" i="18" s="1"/>
  <c r="I176" i="18"/>
  <c r="J176" i="18" s="1"/>
  <c r="L176" i="18" s="1"/>
  <c r="I137" i="18"/>
  <c r="J137" i="18" s="1"/>
  <c r="L137" i="18" s="1"/>
  <c r="I116" i="18"/>
  <c r="J116" i="18" s="1"/>
  <c r="L116" i="18" s="1"/>
  <c r="I56" i="18"/>
  <c r="J56" i="18" s="1"/>
  <c r="I132" i="18"/>
  <c r="J132" i="18" s="1"/>
  <c r="L132" i="18" s="1"/>
  <c r="I45" i="18"/>
  <c r="J45" i="18" s="1"/>
  <c r="L45" i="18" s="1"/>
  <c r="I60" i="18"/>
  <c r="J60" i="18" s="1"/>
  <c r="L60" i="18" s="1"/>
  <c r="I29" i="18"/>
  <c r="J29" i="18" s="1"/>
  <c r="L29" i="18" s="1"/>
  <c r="I197" i="18"/>
  <c r="J197" i="18" s="1"/>
  <c r="L197" i="18" s="1"/>
  <c r="I142" i="18"/>
  <c r="J142" i="18" s="1"/>
  <c r="L142" i="18" s="1"/>
  <c r="I41" i="18"/>
  <c r="J41" i="18" s="1"/>
  <c r="L41" i="18" s="1"/>
  <c r="I86" i="18"/>
  <c r="J86" i="18" s="1"/>
  <c r="L86" i="18" s="1"/>
  <c r="I148" i="18"/>
  <c r="J148" i="18" s="1"/>
  <c r="L148" i="18" s="1"/>
  <c r="I175" i="18"/>
  <c r="J175" i="18" s="1"/>
  <c r="L175" i="18" s="1"/>
  <c r="I36" i="18"/>
  <c r="J36" i="18" s="1"/>
  <c r="L36" i="18" s="1"/>
  <c r="I144" i="18"/>
  <c r="J144" i="18" s="1"/>
  <c r="L144" i="18" s="1"/>
  <c r="F14" i="29"/>
  <c r="I92" i="18"/>
  <c r="J92" i="18" s="1"/>
  <c r="L92" i="18" s="1"/>
  <c r="I170" i="18"/>
  <c r="J170" i="18" s="1"/>
  <c r="L170" i="18" s="1"/>
  <c r="I164" i="18"/>
  <c r="J164" i="18" s="1"/>
  <c r="L164" i="18" s="1"/>
  <c r="I22" i="18"/>
  <c r="J22" i="18" s="1"/>
  <c r="L22" i="18" s="1"/>
  <c r="I81" i="18"/>
  <c r="J81" i="18" s="1"/>
  <c r="L81" i="18" s="1"/>
  <c r="I112" i="18"/>
  <c r="J112" i="18" s="1"/>
  <c r="L112" i="18" s="1"/>
  <c r="I68" i="18"/>
  <c r="J68" i="18" s="1"/>
  <c r="L68" i="18" s="1"/>
  <c r="I199" i="18"/>
  <c r="J199" i="18" s="1"/>
  <c r="L199" i="18" s="1"/>
  <c r="I69" i="18"/>
  <c r="J69" i="18" s="1"/>
  <c r="L69" i="18" s="1"/>
  <c r="I100" i="18"/>
  <c r="J100" i="18" s="1"/>
  <c r="L100" i="18" s="1"/>
  <c r="I98" i="18"/>
  <c r="J98" i="18" s="1"/>
  <c r="L98" i="18" s="1"/>
  <c r="I192" i="18"/>
  <c r="J192" i="18" s="1"/>
  <c r="L192" i="18" s="1"/>
  <c r="I28" i="18"/>
  <c r="J28" i="18" s="1"/>
  <c r="L28" i="18" s="1"/>
  <c r="I79" i="18"/>
  <c r="J79" i="18" s="1"/>
  <c r="L79" i="18" s="1"/>
  <c r="I76" i="18"/>
  <c r="J76" i="18" s="1"/>
  <c r="L76" i="18" s="1"/>
  <c r="I168" i="18"/>
  <c r="J168" i="18" s="1"/>
  <c r="L168" i="18" s="1"/>
  <c r="I97" i="18"/>
  <c r="J97" i="18" s="1"/>
  <c r="L97" i="18" s="1"/>
  <c r="I40" i="18"/>
  <c r="J40" i="18" s="1"/>
  <c r="L40" i="18" s="1"/>
  <c r="I169" i="18"/>
  <c r="J169" i="18" s="1"/>
  <c r="L169" i="18" s="1"/>
  <c r="I37" i="18"/>
  <c r="J37" i="18" s="1"/>
  <c r="L37" i="18" s="1"/>
  <c r="I104" i="18"/>
  <c r="J104" i="18" s="1"/>
  <c r="L104" i="18" s="1"/>
  <c r="I108" i="18"/>
  <c r="J108" i="18" s="1"/>
  <c r="L108" i="18" s="1"/>
  <c r="I177" i="18"/>
  <c r="J177" i="18" s="1"/>
  <c r="L177" i="18" s="1"/>
  <c r="I145" i="18"/>
  <c r="J145" i="18" s="1"/>
  <c r="L145" i="18" s="1"/>
  <c r="I151" i="18"/>
  <c r="J151" i="18" s="1"/>
  <c r="L151" i="18" s="1"/>
  <c r="I186" i="18"/>
  <c r="J186" i="18" s="1"/>
  <c r="L186" i="18" s="1"/>
  <c r="I201" i="18"/>
  <c r="J201" i="18" s="1"/>
  <c r="L201" i="18" s="1"/>
  <c r="I54" i="18"/>
  <c r="J54" i="18" s="1"/>
  <c r="L54" i="18" s="1"/>
  <c r="I47" i="18"/>
  <c r="J47" i="18" s="1"/>
  <c r="L47" i="18" s="1"/>
  <c r="I146" i="18"/>
  <c r="J146" i="18" s="1"/>
  <c r="L146" i="18" s="1"/>
  <c r="I178" i="18"/>
  <c r="J178" i="18" s="1"/>
  <c r="L178" i="18" s="1"/>
  <c r="I80" i="18"/>
  <c r="J80" i="18" s="1"/>
  <c r="L80" i="18" s="1"/>
  <c r="I187" i="18"/>
  <c r="J187" i="18" s="1"/>
  <c r="L187" i="18" s="1"/>
  <c r="I50" i="18"/>
  <c r="J50" i="18" s="1"/>
  <c r="L50" i="18" s="1"/>
  <c r="I127" i="18"/>
  <c r="J127" i="18" s="1"/>
  <c r="L127" i="18" s="1"/>
  <c r="I130" i="18"/>
  <c r="J130" i="18" s="1"/>
  <c r="L130" i="18" s="1"/>
  <c r="I135" i="18"/>
  <c r="J135" i="18" s="1"/>
  <c r="L135" i="18" s="1"/>
  <c r="I55" i="18"/>
  <c r="J55" i="18" s="1"/>
  <c r="L55" i="18" s="1"/>
  <c r="I30" i="18"/>
  <c r="J30" i="18" s="1"/>
  <c r="L30" i="18" s="1"/>
  <c r="I202" i="18"/>
  <c r="J202" i="18" s="1"/>
  <c r="L202" i="18" s="1"/>
  <c r="I35" i="18"/>
  <c r="J35" i="18" s="1"/>
  <c r="L35" i="18" s="1"/>
  <c r="I105" i="18"/>
  <c r="J105" i="18" s="1"/>
  <c r="L105" i="18" s="1"/>
  <c r="I51" i="18"/>
  <c r="J51" i="18" s="1"/>
  <c r="L51" i="18" s="1"/>
  <c r="I21" i="18"/>
  <c r="J21" i="18" s="1"/>
  <c r="L21" i="18" s="1"/>
  <c r="I139" i="18"/>
  <c r="J139" i="18" s="1"/>
  <c r="L139" i="18" s="1"/>
  <c r="I156" i="18"/>
  <c r="J156" i="18" s="1"/>
  <c r="L156" i="18" s="1"/>
  <c r="I160" i="18"/>
  <c r="J160" i="18" s="1"/>
  <c r="L160" i="18" s="1"/>
  <c r="I53" i="18"/>
  <c r="J53" i="18" s="1"/>
  <c r="L53" i="18" s="1"/>
  <c r="I75" i="18"/>
  <c r="J75" i="18" s="1"/>
  <c r="L75" i="18" s="1"/>
  <c r="I25" i="18"/>
  <c r="J25" i="18" s="1"/>
  <c r="L25" i="18" s="1"/>
  <c r="I205" i="18"/>
  <c r="J205" i="18" s="1"/>
  <c r="L205" i="18" s="1"/>
  <c r="I198" i="18"/>
  <c r="J198" i="18" s="1"/>
  <c r="L198" i="18" s="1"/>
  <c r="I123" i="18"/>
  <c r="J123" i="18" s="1"/>
  <c r="L123" i="18" s="1"/>
  <c r="I99" i="18"/>
  <c r="J99" i="18" s="1"/>
  <c r="L99" i="18" s="1"/>
  <c r="I67" i="18"/>
  <c r="J67" i="18" s="1"/>
  <c r="L67" i="18" s="1"/>
  <c r="I91" i="18"/>
  <c r="J91" i="18" s="1"/>
  <c r="L91" i="18" s="1"/>
  <c r="I174" i="18"/>
  <c r="J174" i="18" s="1"/>
  <c r="L174" i="18" s="1"/>
  <c r="I115" i="18"/>
  <c r="J115" i="18" s="1"/>
  <c r="L115" i="18" s="1"/>
  <c r="I138" i="18"/>
  <c r="J138" i="18" s="1"/>
  <c r="L138" i="18" s="1"/>
  <c r="I182" i="18"/>
  <c r="J182" i="18" s="1"/>
  <c r="L182" i="18" s="1"/>
  <c r="I122" i="18"/>
  <c r="J122" i="18" s="1"/>
  <c r="L122" i="18" s="1"/>
  <c r="I157" i="18"/>
  <c r="J157" i="18" s="1"/>
  <c r="L157" i="18" s="1"/>
  <c r="I102" i="18"/>
  <c r="J102" i="18" s="1"/>
  <c r="L102" i="18" s="1"/>
  <c r="I94" i="18"/>
  <c r="J94" i="18" s="1"/>
  <c r="L94" i="18" s="1"/>
  <c r="I188" i="18"/>
  <c r="J188" i="18" s="1"/>
  <c r="L188" i="18" s="1"/>
  <c r="I74" i="18"/>
  <c r="J74" i="18" s="1"/>
  <c r="L74" i="18" s="1"/>
  <c r="I181" i="18"/>
  <c r="J181" i="18" s="1"/>
  <c r="L181" i="18" s="1"/>
  <c r="I133" i="18"/>
  <c r="J133" i="18" s="1"/>
  <c r="L133" i="18" s="1"/>
  <c r="I66" i="18"/>
  <c r="J66" i="18" s="1"/>
  <c r="L66" i="18" s="1"/>
  <c r="I96" i="18"/>
  <c r="J96" i="18" s="1"/>
  <c r="L96" i="18" s="1"/>
  <c r="I107" i="18"/>
  <c r="J107" i="18" s="1"/>
  <c r="L107" i="18" s="1"/>
  <c r="I189" i="18"/>
  <c r="J189" i="18" s="1"/>
  <c r="L189" i="18" s="1"/>
  <c r="I20" i="18"/>
  <c r="J20" i="18" s="1"/>
  <c r="I124" i="18"/>
  <c r="J124" i="18" s="1"/>
  <c r="L124" i="18" s="1"/>
  <c r="I185" i="18"/>
  <c r="J185" i="18" s="1"/>
  <c r="L185" i="18" s="1"/>
  <c r="I42" i="18"/>
  <c r="J42" i="18" s="1"/>
  <c r="L42" i="18" s="1"/>
  <c r="I183" i="18"/>
  <c r="J183" i="18" s="1"/>
  <c r="L183" i="18" s="1"/>
  <c r="I203" i="18"/>
  <c r="J203" i="18" s="1"/>
  <c r="L203" i="18" s="1"/>
  <c r="I103" i="18"/>
  <c r="J103" i="18" s="1"/>
  <c r="L103" i="18" s="1"/>
  <c r="I209" i="18"/>
  <c r="J209" i="18" s="1"/>
  <c r="L209" i="18" s="1"/>
  <c r="I113" i="18"/>
  <c r="J113" i="18" s="1"/>
  <c r="L113" i="18" s="1"/>
  <c r="I200" i="18"/>
  <c r="J200" i="18" s="1"/>
  <c r="L200" i="18" s="1"/>
  <c r="I153" i="18"/>
  <c r="J153" i="18" s="1"/>
  <c r="L153" i="18" s="1"/>
  <c r="I110" i="18"/>
  <c r="J110" i="18" s="1"/>
  <c r="L110" i="18" s="1"/>
  <c r="I143" i="18"/>
  <c r="J143" i="18" s="1"/>
  <c r="L143" i="18" s="1"/>
  <c r="I147" i="18"/>
  <c r="J147" i="18" s="1"/>
  <c r="L147" i="18" s="1"/>
  <c r="I114" i="18"/>
  <c r="J114" i="18" s="1"/>
  <c r="L114" i="18" s="1"/>
  <c r="I34" i="18"/>
  <c r="J34" i="18" s="1"/>
  <c r="L34" i="18" s="1"/>
  <c r="I184" i="18"/>
  <c r="J184" i="18" s="1"/>
  <c r="L184" i="18" s="1"/>
  <c r="I49" i="18"/>
  <c r="J49" i="18" s="1"/>
  <c r="L49" i="18" s="1"/>
  <c r="I77" i="18"/>
  <c r="J77" i="18" s="1"/>
  <c r="L77" i="18" s="1"/>
  <c r="I167" i="18"/>
  <c r="J167" i="18" s="1"/>
  <c r="L167" i="18" s="1"/>
  <c r="I173" i="18"/>
  <c r="J173" i="18" s="1"/>
  <c r="L173" i="18" s="1"/>
  <c r="I52" i="18"/>
  <c r="J52" i="18" s="1"/>
  <c r="L52" i="18" s="1"/>
  <c r="I95" i="18"/>
  <c r="J95" i="18" s="1"/>
  <c r="L95" i="18" s="1"/>
  <c r="I88" i="18"/>
  <c r="J88" i="18" s="1"/>
  <c r="L88" i="18" s="1"/>
  <c r="I48" i="18"/>
  <c r="J48" i="18" s="1"/>
  <c r="L48" i="18" s="1"/>
  <c r="I193" i="18"/>
  <c r="J193" i="18" s="1"/>
  <c r="L193" i="18" s="1"/>
  <c r="I150" i="18"/>
  <c r="J150" i="18" s="1"/>
  <c r="L150" i="18" s="1"/>
  <c r="I87" i="18"/>
  <c r="J87" i="18" s="1"/>
  <c r="L87" i="18" s="1"/>
  <c r="I23" i="18"/>
  <c r="J23" i="18" s="1"/>
  <c r="L23" i="18" s="1"/>
  <c r="I61" i="18"/>
  <c r="J61" i="18" s="1"/>
  <c r="L61" i="18" s="1"/>
  <c r="I59" i="18"/>
  <c r="J59" i="18" s="1"/>
  <c r="L59" i="18" s="1"/>
  <c r="I90" i="18"/>
  <c r="J90" i="18" s="1"/>
  <c r="L90" i="18" s="1"/>
  <c r="I161" i="18"/>
  <c r="J161" i="18" s="1"/>
  <c r="L161" i="18" s="1"/>
  <c r="I204" i="18"/>
  <c r="J204" i="18" s="1"/>
  <c r="L204" i="18" s="1"/>
  <c r="I163" i="18"/>
  <c r="J163" i="18" s="1"/>
  <c r="L163" i="18" s="1"/>
  <c r="I159" i="18"/>
  <c r="J159" i="18" s="1"/>
  <c r="L159" i="18" s="1"/>
  <c r="I126" i="18"/>
  <c r="J126" i="18" s="1"/>
  <c r="L126" i="18" s="1"/>
  <c r="I119" i="18"/>
  <c r="J119" i="18" s="1"/>
  <c r="L119" i="18" s="1"/>
  <c r="I128" i="18"/>
  <c r="J128" i="18" s="1"/>
  <c r="L128" i="18" s="1"/>
  <c r="I57" i="18"/>
  <c r="J57" i="18" s="1"/>
  <c r="L57" i="18" s="1"/>
  <c r="I121" i="18"/>
  <c r="J121" i="18" s="1"/>
  <c r="L121" i="18" s="1"/>
  <c r="I165" i="18"/>
  <c r="J165" i="18" s="1"/>
  <c r="L165" i="18" s="1"/>
  <c r="I70" i="18"/>
  <c r="J70" i="18" s="1"/>
  <c r="L70" i="18" s="1"/>
  <c r="I82" i="18"/>
  <c r="J82" i="18" s="1"/>
  <c r="L82" i="18" s="1"/>
  <c r="I64" i="18"/>
  <c r="J64" i="18" s="1"/>
  <c r="L64" i="18" s="1"/>
  <c r="I85" i="18"/>
  <c r="J85" i="18" s="1"/>
  <c r="L85" i="18" s="1"/>
  <c r="I207" i="18"/>
  <c r="J207" i="18" s="1"/>
  <c r="L207" i="18" s="1"/>
  <c r="I109" i="18"/>
  <c r="J109" i="18" s="1"/>
  <c r="L109" i="18" s="1"/>
  <c r="I134" i="18"/>
  <c r="J134" i="18" s="1"/>
  <c r="L134" i="18" s="1"/>
  <c r="I208" i="18"/>
  <c r="J208" i="18" s="1"/>
  <c r="L208" i="18" s="1"/>
  <c r="I101" i="18"/>
  <c r="J101" i="18" s="1"/>
  <c r="L101" i="18" s="1"/>
  <c r="I190" i="18"/>
  <c r="J190" i="18" s="1"/>
  <c r="L190" i="18" s="1"/>
  <c r="I33" i="18"/>
  <c r="J33" i="18" s="1"/>
  <c r="L33" i="18" s="1"/>
  <c r="I106" i="18"/>
  <c r="J106" i="18" s="1"/>
  <c r="L106" i="18" s="1"/>
  <c r="I71" i="18"/>
  <c r="J71" i="18" s="1"/>
  <c r="L71" i="18" s="1"/>
  <c r="I72" i="18"/>
  <c r="J72" i="18" s="1"/>
  <c r="L72" i="18" s="1"/>
  <c r="I84" i="18"/>
  <c r="J84" i="18" s="1"/>
  <c r="L84" i="18" s="1"/>
  <c r="I171" i="18"/>
  <c r="J171" i="18" s="1"/>
  <c r="L171" i="18" s="1"/>
  <c r="I117" i="18"/>
  <c r="J117" i="18" s="1"/>
  <c r="L117" i="18" s="1"/>
  <c r="I210" i="18"/>
  <c r="J210" i="18" s="1"/>
  <c r="L210" i="18" s="1"/>
  <c r="I63" i="18"/>
  <c r="J63" i="18" s="1"/>
  <c r="L63" i="18" s="1"/>
  <c r="I65" i="18"/>
  <c r="J65" i="18" s="1"/>
  <c r="L65" i="18" s="1"/>
  <c r="I162" i="18"/>
  <c r="J162" i="18" s="1"/>
  <c r="L162" i="18" s="1"/>
  <c r="L56" i="18" l="1"/>
  <c r="J13" i="18"/>
  <c r="J212" i="18"/>
  <c r="J14" i="18"/>
  <c r="L20" i="18"/>
  <c r="L14" i="18" l="1"/>
  <c r="L212" i="18"/>
  <c r="L13" i="18"/>
  <c r="M78" i="18" l="1"/>
  <c r="N78" i="18" s="1"/>
  <c r="R78" i="18" s="1"/>
  <c r="M100" i="18"/>
  <c r="N100" i="18" s="1"/>
  <c r="R100" i="18" s="1"/>
  <c r="M160" i="18"/>
  <c r="N160" i="18" s="1"/>
  <c r="R160" i="18" s="1"/>
  <c r="M188" i="18"/>
  <c r="N188" i="18" s="1"/>
  <c r="R188" i="18" s="1"/>
  <c r="M50" i="18"/>
  <c r="N50" i="18" s="1"/>
  <c r="R50" i="18" s="1"/>
  <c r="M154" i="18"/>
  <c r="N154" i="18" s="1"/>
  <c r="R154" i="18" s="1"/>
  <c r="M207" i="18"/>
  <c r="N207" i="18" s="1"/>
  <c r="R207" i="18" s="1"/>
  <c r="M20" i="18"/>
  <c r="M70" i="18"/>
  <c r="N70" i="18" s="1"/>
  <c r="R70" i="18" s="1"/>
  <c r="M161" i="18"/>
  <c r="N161" i="18" s="1"/>
  <c r="R161" i="18" s="1"/>
  <c r="M117" i="18"/>
  <c r="N117" i="18" s="1"/>
  <c r="R117" i="18" s="1"/>
  <c r="M110" i="18"/>
  <c r="N110" i="18" s="1"/>
  <c r="R110" i="18" s="1"/>
  <c r="M157" i="18"/>
  <c r="N157" i="18" s="1"/>
  <c r="R157" i="18" s="1"/>
  <c r="M101" i="18"/>
  <c r="N101" i="18" s="1"/>
  <c r="R101" i="18" s="1"/>
  <c r="M93" i="18"/>
  <c r="N93" i="18" s="1"/>
  <c r="R93" i="18" s="1"/>
  <c r="M119" i="18"/>
  <c r="N119" i="18" s="1"/>
  <c r="R119" i="18" s="1"/>
  <c r="M89" i="18"/>
  <c r="N89" i="18" s="1"/>
  <c r="R89" i="18" s="1"/>
  <c r="M204" i="18"/>
  <c r="N204" i="18" s="1"/>
  <c r="R204" i="18" s="1"/>
  <c r="M104" i="18"/>
  <c r="N104" i="18" s="1"/>
  <c r="R104" i="18" s="1"/>
  <c r="M135" i="18"/>
  <c r="N135" i="18" s="1"/>
  <c r="R135" i="18" s="1"/>
  <c r="M174" i="18"/>
  <c r="N174" i="18" s="1"/>
  <c r="R174" i="18" s="1"/>
  <c r="M150" i="18"/>
  <c r="N150" i="18" s="1"/>
  <c r="R150" i="18" s="1"/>
  <c r="M155" i="18"/>
  <c r="N155" i="18" s="1"/>
  <c r="R155" i="18" s="1"/>
  <c r="M97" i="18"/>
  <c r="N97" i="18" s="1"/>
  <c r="R97" i="18" s="1"/>
  <c r="M98" i="18"/>
  <c r="N98" i="18" s="1"/>
  <c r="R98" i="18" s="1"/>
  <c r="M121" i="18"/>
  <c r="N121" i="18" s="1"/>
  <c r="R121" i="18" s="1"/>
  <c r="M87" i="18"/>
  <c r="N87" i="18" s="1"/>
  <c r="R87" i="18" s="1"/>
  <c r="M112" i="18"/>
  <c r="N112" i="18" s="1"/>
  <c r="R112" i="18" s="1"/>
  <c r="M167" i="18"/>
  <c r="N167" i="18" s="1"/>
  <c r="R167" i="18" s="1"/>
  <c r="M195" i="18"/>
  <c r="N195" i="18" s="1"/>
  <c r="R195" i="18" s="1"/>
  <c r="M137" i="18"/>
  <c r="N137" i="18" s="1"/>
  <c r="R137" i="18" s="1"/>
  <c r="M164" i="18"/>
  <c r="N164" i="18" s="1"/>
  <c r="R164" i="18" s="1"/>
  <c r="M197" i="18"/>
  <c r="N197" i="18" s="1"/>
  <c r="R197" i="18" s="1"/>
  <c r="M36" i="18"/>
  <c r="N36" i="18" s="1"/>
  <c r="R36" i="18" s="1"/>
  <c r="M183" i="18"/>
  <c r="N183" i="18" s="1"/>
  <c r="R183" i="18" s="1"/>
  <c r="M182" i="18"/>
  <c r="N182" i="18" s="1"/>
  <c r="R182" i="18" s="1"/>
  <c r="M172" i="18"/>
  <c r="N172" i="18" s="1"/>
  <c r="R172" i="18" s="1"/>
  <c r="M130" i="18"/>
  <c r="N130" i="18" s="1"/>
  <c r="R130" i="18" s="1"/>
  <c r="M144" i="18"/>
  <c r="N144" i="18" s="1"/>
  <c r="R144" i="18" s="1"/>
  <c r="M38" i="18"/>
  <c r="N38" i="18" s="1"/>
  <c r="R38" i="18" s="1"/>
  <c r="M208" i="18"/>
  <c r="N208" i="18" s="1"/>
  <c r="R208" i="18" s="1"/>
  <c r="M131" i="18"/>
  <c r="N131" i="18" s="1"/>
  <c r="R131" i="18" s="1"/>
  <c r="M49" i="18"/>
  <c r="N49" i="18" s="1"/>
  <c r="R49" i="18" s="1"/>
  <c r="M75" i="18"/>
  <c r="N75" i="18" s="1"/>
  <c r="R75" i="18" s="1"/>
  <c r="M51" i="18"/>
  <c r="N51" i="18" s="1"/>
  <c r="R51" i="18" s="1"/>
  <c r="M81" i="18"/>
  <c r="N81" i="18" s="1"/>
  <c r="R81" i="18" s="1"/>
  <c r="M33" i="18"/>
  <c r="N33" i="18" s="1"/>
  <c r="R33" i="18" s="1"/>
  <c r="M178" i="18"/>
  <c r="N178" i="18" s="1"/>
  <c r="R178" i="18" s="1"/>
  <c r="M175" i="18"/>
  <c r="N175" i="18" s="1"/>
  <c r="R175" i="18" s="1"/>
  <c r="M114" i="18"/>
  <c r="N114" i="18" s="1"/>
  <c r="R114" i="18" s="1"/>
  <c r="M99" i="18"/>
  <c r="N99" i="18" s="1"/>
  <c r="R99" i="18" s="1"/>
  <c r="M184" i="18"/>
  <c r="N184" i="18" s="1"/>
  <c r="R184" i="18" s="1"/>
  <c r="M106" i="18"/>
  <c r="N106" i="18" s="1"/>
  <c r="R106" i="18" s="1"/>
  <c r="M92" i="18"/>
  <c r="N92" i="18" s="1"/>
  <c r="R92" i="18" s="1"/>
  <c r="M56" i="18"/>
  <c r="M126" i="18"/>
  <c r="N126" i="18" s="1"/>
  <c r="R126" i="18" s="1"/>
  <c r="M86" i="18"/>
  <c r="N86" i="18" s="1"/>
  <c r="R86" i="18" s="1"/>
  <c r="M37" i="18"/>
  <c r="N37" i="18" s="1"/>
  <c r="R37" i="18" s="1"/>
  <c r="M91" i="18"/>
  <c r="N91" i="18" s="1"/>
  <c r="R91" i="18" s="1"/>
  <c r="M142" i="18"/>
  <c r="N142" i="18" s="1"/>
  <c r="R142" i="18" s="1"/>
  <c r="M67" i="18"/>
  <c r="N67" i="18" s="1"/>
  <c r="R67" i="18" s="1"/>
  <c r="M29" i="18"/>
  <c r="N29" i="18" s="1"/>
  <c r="R29" i="18" s="1"/>
  <c r="M84" i="18"/>
  <c r="N84" i="18" s="1"/>
  <c r="R84" i="18" s="1"/>
  <c r="M136" i="18"/>
  <c r="N136" i="18" s="1"/>
  <c r="R136" i="18" s="1"/>
  <c r="M116" i="18"/>
  <c r="N116" i="18" s="1"/>
  <c r="R116" i="18" s="1"/>
  <c r="M32" i="18"/>
  <c r="N32" i="18" s="1"/>
  <c r="R32" i="18" s="1"/>
  <c r="M74" i="18"/>
  <c r="N74" i="18" s="1"/>
  <c r="R74" i="18" s="1"/>
  <c r="M46" i="18"/>
  <c r="N46" i="18" s="1"/>
  <c r="R46" i="18" s="1"/>
  <c r="M108" i="18"/>
  <c r="N108" i="18" s="1"/>
  <c r="R108" i="18" s="1"/>
  <c r="M60" i="18"/>
  <c r="N60" i="18" s="1"/>
  <c r="R60" i="18" s="1"/>
  <c r="M24" i="18"/>
  <c r="N24" i="18" s="1"/>
  <c r="R24" i="18" s="1"/>
  <c r="M176" i="18"/>
  <c r="N176" i="18" s="1"/>
  <c r="R176" i="18" s="1"/>
  <c r="M146" i="18"/>
  <c r="N146" i="18" s="1"/>
  <c r="R146" i="18" s="1"/>
  <c r="M206" i="18"/>
  <c r="N206" i="18" s="1"/>
  <c r="R206" i="18" s="1"/>
  <c r="M151" i="18"/>
  <c r="N151" i="18" s="1"/>
  <c r="R151" i="18" s="1"/>
  <c r="M123" i="18"/>
  <c r="N123" i="18" s="1"/>
  <c r="R123" i="18" s="1"/>
  <c r="M61" i="18"/>
  <c r="N61" i="18" s="1"/>
  <c r="R61" i="18" s="1"/>
  <c r="M194" i="18"/>
  <c r="N194" i="18" s="1"/>
  <c r="R194" i="18" s="1"/>
  <c r="M187" i="18"/>
  <c r="N187" i="18" s="1"/>
  <c r="R187" i="18" s="1"/>
  <c r="M210" i="18"/>
  <c r="N210" i="18" s="1"/>
  <c r="R210" i="18" s="1"/>
  <c r="M30" i="18"/>
  <c r="N30" i="18" s="1"/>
  <c r="R30" i="18" s="1"/>
  <c r="M22" i="18"/>
  <c r="N22" i="18" s="1"/>
  <c r="R22" i="18" s="1"/>
  <c r="M95" i="18"/>
  <c r="N95" i="18" s="1"/>
  <c r="R95" i="18" s="1"/>
  <c r="M196" i="18"/>
  <c r="N196" i="18" s="1"/>
  <c r="R196" i="18" s="1"/>
  <c r="M205" i="18"/>
  <c r="N205" i="18" s="1"/>
  <c r="R205" i="18" s="1"/>
  <c r="M201" i="18"/>
  <c r="N201" i="18" s="1"/>
  <c r="R201" i="18" s="1"/>
  <c r="M186" i="18"/>
  <c r="N186" i="18" s="1"/>
  <c r="R186" i="18" s="1"/>
  <c r="M82" i="18"/>
  <c r="N82" i="18" s="1"/>
  <c r="R82" i="18" s="1"/>
  <c r="M165" i="18"/>
  <c r="N165" i="18" s="1"/>
  <c r="R165" i="18" s="1"/>
  <c r="M133" i="18"/>
  <c r="N133" i="18" s="1"/>
  <c r="R133" i="18" s="1"/>
  <c r="M58" i="18"/>
  <c r="N58" i="18" s="1"/>
  <c r="R58" i="18" s="1"/>
  <c r="M168" i="18"/>
  <c r="N168" i="18" s="1"/>
  <c r="R168" i="18" s="1"/>
  <c r="M139" i="18"/>
  <c r="N139" i="18" s="1"/>
  <c r="R139" i="18" s="1"/>
  <c r="M132" i="18"/>
  <c r="N132" i="18" s="1"/>
  <c r="R132" i="18" s="1"/>
  <c r="M113" i="18"/>
  <c r="N113" i="18" s="1"/>
  <c r="R113" i="18" s="1"/>
  <c r="M102" i="18"/>
  <c r="N102" i="18" s="1"/>
  <c r="R102" i="18" s="1"/>
  <c r="M153" i="18"/>
  <c r="N153" i="18" s="1"/>
  <c r="R153" i="18" s="1"/>
  <c r="M21" i="18"/>
  <c r="N21" i="18" s="1"/>
  <c r="R21" i="18" s="1"/>
  <c r="M40" i="18"/>
  <c r="N40" i="18" s="1"/>
  <c r="R40" i="18" s="1"/>
  <c r="M138" i="18"/>
  <c r="N138" i="18" s="1"/>
  <c r="R138" i="18" s="1"/>
  <c r="M148" i="18"/>
  <c r="N148" i="18" s="1"/>
  <c r="R148" i="18" s="1"/>
  <c r="M166" i="18"/>
  <c r="N166" i="18" s="1"/>
  <c r="R166" i="18" s="1"/>
  <c r="M156" i="18"/>
  <c r="N156" i="18" s="1"/>
  <c r="R156" i="18" s="1"/>
  <c r="M83" i="18"/>
  <c r="N83" i="18" s="1"/>
  <c r="R83" i="18" s="1"/>
  <c r="M169" i="18"/>
  <c r="N169" i="18" s="1"/>
  <c r="R169" i="18" s="1"/>
  <c r="M90" i="18"/>
  <c r="N90" i="18" s="1"/>
  <c r="R90" i="18" s="1"/>
  <c r="M105" i="18"/>
  <c r="N105" i="18" s="1"/>
  <c r="R105" i="18" s="1"/>
  <c r="M23" i="18"/>
  <c r="N23" i="18" s="1"/>
  <c r="R23" i="18" s="1"/>
  <c r="M179" i="18"/>
  <c r="N179" i="18" s="1"/>
  <c r="R179" i="18" s="1"/>
  <c r="M53" i="18"/>
  <c r="N53" i="18" s="1"/>
  <c r="R53" i="18" s="1"/>
  <c r="M66" i="18"/>
  <c r="N66" i="18" s="1"/>
  <c r="R66" i="18" s="1"/>
  <c r="M181" i="18"/>
  <c r="N181" i="18" s="1"/>
  <c r="R181" i="18" s="1"/>
  <c r="M147" i="18"/>
  <c r="N147" i="18" s="1"/>
  <c r="R147" i="18" s="1"/>
  <c r="M96" i="18"/>
  <c r="N96" i="18" s="1"/>
  <c r="R96" i="18" s="1"/>
  <c r="M173" i="18"/>
  <c r="N173" i="18" s="1"/>
  <c r="R173" i="18" s="1"/>
  <c r="M192" i="18"/>
  <c r="N192" i="18" s="1"/>
  <c r="R192" i="18" s="1"/>
  <c r="M158" i="18"/>
  <c r="N158" i="18" s="1"/>
  <c r="R158" i="18" s="1"/>
  <c r="M127" i="18"/>
  <c r="N127" i="18" s="1"/>
  <c r="R127" i="18" s="1"/>
  <c r="M200" i="18"/>
  <c r="N200" i="18" s="1"/>
  <c r="R200" i="18" s="1"/>
  <c r="M48" i="18"/>
  <c r="N48" i="18" s="1"/>
  <c r="R48" i="18" s="1"/>
  <c r="M42" i="18"/>
  <c r="N42" i="18" s="1"/>
  <c r="R42" i="18" s="1"/>
  <c r="M52" i="18"/>
  <c r="N52" i="18" s="1"/>
  <c r="R52" i="18" s="1"/>
  <c r="M143" i="18"/>
  <c r="N143" i="18" s="1"/>
  <c r="R143" i="18" s="1"/>
  <c r="M163" i="18"/>
  <c r="N163" i="18" s="1"/>
  <c r="R163" i="18" s="1"/>
  <c r="M111" i="18"/>
  <c r="N111" i="18" s="1"/>
  <c r="R111" i="18" s="1"/>
  <c r="M191" i="18"/>
  <c r="N191" i="18" s="1"/>
  <c r="R191" i="18" s="1"/>
  <c r="M211" i="18"/>
  <c r="N211" i="18" s="1"/>
  <c r="R211" i="18" s="1"/>
  <c r="M141" i="18"/>
  <c r="N141" i="18" s="1"/>
  <c r="R141" i="18" s="1"/>
  <c r="M171" i="18"/>
  <c r="N171" i="18" s="1"/>
  <c r="R171" i="18" s="1"/>
  <c r="M189" i="18"/>
  <c r="N189" i="18" s="1"/>
  <c r="R189" i="18" s="1"/>
  <c r="M34" i="18"/>
  <c r="N34" i="18" s="1"/>
  <c r="R34" i="18" s="1"/>
  <c r="M125" i="18"/>
  <c r="N125" i="18" s="1"/>
  <c r="R125" i="18" s="1"/>
  <c r="M88" i="18"/>
  <c r="N88" i="18" s="1"/>
  <c r="R88" i="18" s="1"/>
  <c r="M73" i="18"/>
  <c r="N73" i="18" s="1"/>
  <c r="R73" i="18" s="1"/>
  <c r="M77" i="18"/>
  <c r="N77" i="18" s="1"/>
  <c r="R77" i="18" s="1"/>
  <c r="M128" i="18"/>
  <c r="N128" i="18" s="1"/>
  <c r="R128" i="18" s="1"/>
  <c r="M140" i="18"/>
  <c r="N140" i="18" s="1"/>
  <c r="R140" i="18" s="1"/>
  <c r="M71" i="18"/>
  <c r="N71" i="18" s="1"/>
  <c r="R71" i="18" s="1"/>
  <c r="M41" i="18"/>
  <c r="N41" i="18" s="1"/>
  <c r="R41" i="18" s="1"/>
  <c r="M64" i="18"/>
  <c r="N64" i="18" s="1"/>
  <c r="R64" i="18" s="1"/>
  <c r="M115" i="18"/>
  <c r="N115" i="18" s="1"/>
  <c r="R115" i="18" s="1"/>
  <c r="M185" i="18"/>
  <c r="N185" i="18" s="1"/>
  <c r="R185" i="18" s="1"/>
  <c r="M80" i="18"/>
  <c r="N80" i="18" s="1"/>
  <c r="R80" i="18" s="1"/>
  <c r="M122" i="18"/>
  <c r="N122" i="18" s="1"/>
  <c r="R122" i="18" s="1"/>
  <c r="M35" i="18"/>
  <c r="N35" i="18" s="1"/>
  <c r="R35" i="18" s="1"/>
  <c r="M28" i="18"/>
  <c r="N28" i="18" s="1"/>
  <c r="R28" i="18" s="1"/>
  <c r="M94" i="18"/>
  <c r="N94" i="18" s="1"/>
  <c r="R94" i="18" s="1"/>
  <c r="M202" i="18"/>
  <c r="N202" i="18" s="1"/>
  <c r="R202" i="18" s="1"/>
  <c r="M107" i="18"/>
  <c r="N107" i="18" s="1"/>
  <c r="R107" i="18" s="1"/>
  <c r="M145" i="18"/>
  <c r="N145" i="18" s="1"/>
  <c r="R145" i="18" s="1"/>
  <c r="M59" i="18"/>
  <c r="N59" i="18" s="1"/>
  <c r="R59" i="18" s="1"/>
  <c r="M190" i="18"/>
  <c r="N190" i="18" s="1"/>
  <c r="R190" i="18" s="1"/>
  <c r="M159" i="18"/>
  <c r="N159" i="18" s="1"/>
  <c r="R159" i="18" s="1"/>
  <c r="M69" i="18"/>
  <c r="N69" i="18" s="1"/>
  <c r="R69" i="18" s="1"/>
  <c r="M62" i="18"/>
  <c r="N62" i="18" s="1"/>
  <c r="R62" i="18" s="1"/>
  <c r="M27" i="18"/>
  <c r="N27" i="18" s="1"/>
  <c r="R27" i="18" s="1"/>
  <c r="M72" i="18"/>
  <c r="N72" i="18" s="1"/>
  <c r="R72" i="18" s="1"/>
  <c r="M79" i="18"/>
  <c r="N79" i="18" s="1"/>
  <c r="R79" i="18" s="1"/>
  <c r="M149" i="18"/>
  <c r="N149" i="18" s="1"/>
  <c r="R149" i="18" s="1"/>
  <c r="M177" i="18"/>
  <c r="N177" i="18" s="1"/>
  <c r="R177" i="18" s="1"/>
  <c r="M209" i="18"/>
  <c r="N209" i="18" s="1"/>
  <c r="R209" i="18" s="1"/>
  <c r="M26" i="18"/>
  <c r="N26" i="18" s="1"/>
  <c r="R26" i="18" s="1"/>
  <c r="M120" i="18"/>
  <c r="N120" i="18" s="1"/>
  <c r="R120" i="18" s="1"/>
  <c r="M170" i="18"/>
  <c r="N170" i="18" s="1"/>
  <c r="R170" i="18" s="1"/>
  <c r="M203" i="18"/>
  <c r="N203" i="18" s="1"/>
  <c r="R203" i="18" s="1"/>
  <c r="M134" i="18"/>
  <c r="N134" i="18" s="1"/>
  <c r="R134" i="18" s="1"/>
  <c r="M118" i="18"/>
  <c r="N118" i="18" s="1"/>
  <c r="R118" i="18" s="1"/>
  <c r="M193" i="18"/>
  <c r="N193" i="18" s="1"/>
  <c r="R193" i="18" s="1"/>
  <c r="M39" i="18"/>
  <c r="N39" i="18" s="1"/>
  <c r="R39" i="18" s="1"/>
  <c r="M63" i="18"/>
  <c r="N63" i="18" s="1"/>
  <c r="R63" i="18" s="1"/>
  <c r="M199" i="18"/>
  <c r="N199" i="18" s="1"/>
  <c r="R199" i="18" s="1"/>
  <c r="M65" i="18"/>
  <c r="N65" i="18" s="1"/>
  <c r="R65" i="18" s="1"/>
  <c r="M162" i="18"/>
  <c r="N162" i="18" s="1"/>
  <c r="R162" i="18" s="1"/>
  <c r="M103" i="18"/>
  <c r="N103" i="18" s="1"/>
  <c r="R103" i="18" s="1"/>
  <c r="M68" i="18"/>
  <c r="N68" i="18" s="1"/>
  <c r="R68" i="18" s="1"/>
  <c r="M198" i="18"/>
  <c r="N198" i="18" s="1"/>
  <c r="R198" i="18" s="1"/>
  <c r="M25" i="18"/>
  <c r="N25" i="18" s="1"/>
  <c r="R25" i="18" s="1"/>
  <c r="M129" i="18"/>
  <c r="N129" i="18" s="1"/>
  <c r="R129" i="18" s="1"/>
  <c r="M85" i="18"/>
  <c r="N85" i="18" s="1"/>
  <c r="R85" i="18" s="1"/>
  <c r="M57" i="18"/>
  <c r="N57" i="18" s="1"/>
  <c r="R57" i="18" s="1"/>
  <c r="M31" i="18"/>
  <c r="N31" i="18" s="1"/>
  <c r="R31" i="18" s="1"/>
  <c r="M44" i="18"/>
  <c r="N44" i="18" s="1"/>
  <c r="R44" i="18" s="1"/>
  <c r="M45" i="18"/>
  <c r="N45" i="18" s="1"/>
  <c r="R45" i="18" s="1"/>
  <c r="M109" i="18"/>
  <c r="N109" i="18" s="1"/>
  <c r="R109" i="18" s="1"/>
  <c r="M76" i="18"/>
  <c r="N76" i="18" s="1"/>
  <c r="R76" i="18" s="1"/>
  <c r="M152" i="18"/>
  <c r="N152" i="18" s="1"/>
  <c r="R152" i="18" s="1"/>
  <c r="M54" i="18"/>
  <c r="N54" i="18" s="1"/>
  <c r="R54" i="18" s="1"/>
  <c r="M43" i="18"/>
  <c r="N43" i="18" s="1"/>
  <c r="R43" i="18" s="1"/>
  <c r="M180" i="18"/>
  <c r="N180" i="18" s="1"/>
  <c r="R180" i="18" s="1"/>
  <c r="M124" i="18"/>
  <c r="N124" i="18" s="1"/>
  <c r="R124" i="18" s="1"/>
  <c r="M55" i="18"/>
  <c r="N55" i="18" s="1"/>
  <c r="R55" i="18" s="1"/>
  <c r="M47" i="18"/>
  <c r="N47" i="18" s="1"/>
  <c r="R47" i="18" s="1"/>
  <c r="M13" i="18" l="1"/>
  <c r="N56" i="18"/>
  <c r="M212" i="18"/>
  <c r="N20" i="18"/>
  <c r="R56" i="18" l="1"/>
  <c r="R13" i="18" s="1"/>
  <c r="N13" i="18"/>
  <c r="N14" i="18"/>
  <c r="R20" i="18"/>
  <c r="R14" i="18" l="1"/>
  <c r="R212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rlp</author>
  </authors>
  <commentList>
    <comment ref="J2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True-Up ATRR and rate from current year's (t=0) update.
</t>
        </r>
      </text>
    </comment>
    <comment ref="K2" authorId="0" shapeId="0" xr:uid="{00000000-0006-0000-0300-000002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ATRR and rate (rpojected) from prev year's template (t-1)</t>
        </r>
      </text>
    </comment>
    <comment ref="K3" authorId="0" shapeId="0" xr:uid="{00000000-0006-0000-0300-000003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ATRR and rate (rpojected) from prev year's template (t-1)</t>
        </r>
      </text>
    </comment>
    <comment ref="K5" authorId="0" shapeId="0" xr:uid="{00000000-0006-0000-0300-000004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ATRR and rate (rpojected) from prev year's template (t-1)</t>
        </r>
      </text>
    </comment>
    <comment ref="K6" authorId="0" shapeId="0" xr:uid="{00000000-0006-0000-0300-000005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ATRR and rate (rpojected) from prev year's template (t-1)</t>
        </r>
      </text>
    </comment>
    <comment ref="J19" authorId="0" shapeId="0" xr:uid="{00000000-0006-0000-0300-000006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Actual Charge based on after the fact "True-Up" rate for entire prior CY.</t>
        </r>
      </text>
    </comment>
    <comment ref="K19" authorId="0" shapeId="0" xr:uid="{00000000-0006-0000-0300-000007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Amount charged during the Rate Year based on projected rates.</t>
        </r>
      </text>
    </comment>
  </commentList>
</comments>
</file>

<file path=xl/sharedStrings.xml><?xml version="1.0" encoding="utf-8"?>
<sst xmlns="http://schemas.openxmlformats.org/spreadsheetml/2006/main" count="417" uniqueCount="100">
  <si>
    <t>Customer</t>
  </si>
  <si>
    <t>MW</t>
  </si>
  <si>
    <t>Total True-up</t>
  </si>
  <si>
    <t>True-Up w/o Interest</t>
  </si>
  <si>
    <t>Billing
Date*</t>
  </si>
  <si>
    <t>Payment Received*</t>
  </si>
  <si>
    <t>Annual RR</t>
  </si>
  <si>
    <t>Interest</t>
  </si>
  <si>
    <t>OMPA</t>
  </si>
  <si>
    <t>WFEC</t>
  </si>
  <si>
    <t>Monthly Rate</t>
  </si>
  <si>
    <t>True-up Values:  Surcharge / (Refund)</t>
  </si>
  <si>
    <t>Sched.</t>
  </si>
  <si>
    <t>ETEC</t>
  </si>
  <si>
    <t>AECC</t>
  </si>
  <si>
    <t>Greenbelt</t>
  </si>
  <si>
    <t>Lighthouse</t>
  </si>
  <si>
    <t>Coffeyville, KS</t>
  </si>
  <si>
    <t>Grand Total</t>
  </si>
  <si>
    <t>OG&amp;E</t>
  </si>
  <si>
    <t>AEP Revenue Adjustment</t>
  </si>
  <si>
    <t>PSO</t>
  </si>
  <si>
    <t>SWEPCO</t>
  </si>
  <si>
    <r>
      <t xml:space="preserve">NOTE:  </t>
    </r>
    <r>
      <rPr>
        <sz val="10"/>
        <rFont val="Arial"/>
        <family val="2"/>
      </rPr>
      <t>This is a normal part of the Annual True-up</t>
    </r>
  </si>
  <si>
    <t>Data</t>
  </si>
  <si>
    <t>Sum of True-Up w/o Interest</t>
  </si>
  <si>
    <t>Sum of Interest</t>
  </si>
  <si>
    <t>Sum of Total True-up</t>
  </si>
  <si>
    <t>Total Sum of True-Up w/o Interest</t>
  </si>
  <si>
    <t>Total Sum of Interest</t>
  </si>
  <si>
    <t>Total Sum of Total True-up</t>
  </si>
  <si>
    <t>(A)</t>
  </si>
  <si>
    <t>(B)</t>
  </si>
  <si>
    <t>(C)</t>
  </si>
  <si>
    <t>(D) = (B) - (C)</t>
  </si>
  <si>
    <t>(E)</t>
  </si>
  <si>
    <t>Projected</t>
  </si>
  <si>
    <r>
      <t xml:space="preserve">Projected </t>
    </r>
    <r>
      <rPr>
        <sz val="10"/>
        <rFont val="Arial Narrow"/>
        <family val="2"/>
      </rPr>
      <t>(Invoiced)</t>
    </r>
  </si>
  <si>
    <t xml:space="preserve">  ARR</t>
  </si>
  <si>
    <t xml:space="preserve">  Monthly Rates</t>
  </si>
  <si>
    <r>
      <t>Actual</t>
    </r>
    <r>
      <rPr>
        <sz val="10"/>
        <rFont val="Arial Narrow"/>
        <family val="2"/>
      </rPr>
      <t xml:space="preserve"> (True-Up)</t>
    </r>
  </si>
  <si>
    <r>
      <t xml:space="preserve">Actual </t>
    </r>
    <r>
      <rPr>
        <sz val="10"/>
        <rFont val="Arial Narrow"/>
        <family val="2"/>
      </rPr>
      <t>(True-Up)</t>
    </r>
  </si>
  <si>
    <t xml:space="preserve">    Non-Affiliate
    Subtotals</t>
  </si>
  <si>
    <t>TOTALS</t>
  </si>
  <si>
    <t>Comment</t>
  </si>
  <si>
    <t>Actual True-Up Rate</t>
  </si>
  <si>
    <t>Invoiced*** Charge (proj.)</t>
  </si>
  <si>
    <r>
      <t>Projected Rate</t>
    </r>
    <r>
      <rPr>
        <sz val="8"/>
        <rFont val="Arial"/>
        <family val="2"/>
      </rPr>
      <t xml:space="preserve"> (as Invoiced)</t>
    </r>
  </si>
  <si>
    <t>Sum of Invoiced*** Charge (proj.)</t>
  </si>
  <si>
    <t xml:space="preserve">  Customer</t>
  </si>
  <si>
    <t xml:space="preserve">    Affiliate
    Subtotals</t>
  </si>
  <si>
    <t>Customer True-Up for Amounts Billed</t>
  </si>
  <si>
    <t>Serivce Month</t>
  </si>
  <si>
    <t>Bentonville, AR</t>
  </si>
  <si>
    <t>Prescott, AR</t>
  </si>
  <si>
    <t>Minden, LA</t>
  </si>
  <si>
    <t>Hope, AR</t>
  </si>
  <si>
    <t>3rd Party Totals</t>
  </si>
  <si>
    <t>SPP Zone1 Totals (incl. PSO/SWE)</t>
  </si>
  <si>
    <t>Surcharge / (Refund)</t>
  </si>
  <si>
    <t>Total Sum of Invoiced*** Charge (proj.)</t>
  </si>
  <si>
    <r>
      <t xml:space="preserve">*** </t>
    </r>
    <r>
      <rPr>
        <sz val="8"/>
        <rFont val="Arial"/>
        <family val="2"/>
      </rPr>
      <t>Invoiced Charge reflects any subsequent routine invoice corrections by SPP.</t>
    </r>
  </si>
  <si>
    <t>Instructions</t>
  </si>
  <si>
    <r>
      <t>Roll Date: input trueup year in cell=</t>
    </r>
    <r>
      <rPr>
        <b/>
        <i/>
        <sz val="10"/>
        <rFont val="Arial"/>
        <family val="2"/>
      </rPr>
      <t>Transactions!N1</t>
    </r>
  </si>
  <si>
    <t>Update Prime Rates data:  see Prime-Rates tab</t>
  </si>
  <si>
    <r>
      <t>Verify Refund Date:  verify and change (if needed) Refund Date celll=</t>
    </r>
    <r>
      <rPr>
        <b/>
        <i/>
        <sz val="10"/>
        <rFont val="Arial"/>
        <family val="2"/>
      </rPr>
      <t>Transactions!W8</t>
    </r>
  </si>
  <si>
    <t>Billing/Pmt Rec'd Dates:  Verify these dates (currently set to formulaicly update relative to trueup year)</t>
  </si>
  <si>
    <t>Update SPP Zone1 NITS Customer list &amp; formulas (if needed): look at LoadWS in main template &amp; also check w/Load Settlements.</t>
  </si>
  <si>
    <t>Update invoiced Load values per month per customer (from LoadWS in main template) (transpose)</t>
  </si>
  <si>
    <t>Sum of True-Up Charge</t>
  </si>
  <si>
    <t>Total Sum of True-Up Charge</t>
  </si>
  <si>
    <r>
      <t xml:space="preserve">Refresh Pivot Table in </t>
    </r>
    <r>
      <rPr>
        <b/>
        <sz val="10"/>
        <rFont val="Arial"/>
        <family val="2"/>
      </rPr>
      <t>tab=PIVOT</t>
    </r>
  </si>
  <si>
    <t>NOTE:  Be aware that title changes to a Transaction tab column summarized in the pivot table cause such column to be dropped form the pivot table when it is refreshed.</t>
  </si>
  <si>
    <t>NOTE:  In that instance, manually update the LAYOUT of the pivot table to re-summarize the column that encountered a title change.</t>
  </si>
  <si>
    <t>NOTE:  The SUMMARY table in that tab contains GETPIVOTDATA functions that should still work as they reference tltle cells in Transactions tab.</t>
  </si>
  <si>
    <t>Update Rate Summary tab. (very manual process).</t>
  </si>
  <si>
    <t xml:space="preserve">            as contemplated in the AEP Formula Rate Protocols.</t>
  </si>
  <si>
    <t>NOTE:  "Rate Summary" tab is usually "walked-through" during customer meeting but not printed.</t>
  </si>
  <si>
    <t>NOTE:  Print to PDF the "Summary" tab as a supplement for customer Mtg handout and published PDFs.</t>
  </si>
  <si>
    <r>
      <t>Input Sched 9 ATRRs &amp; rates from prior 2 update's (projected) and this year's update (trueup)=</t>
    </r>
    <r>
      <rPr>
        <b/>
        <i/>
        <sz val="10"/>
        <rFont val="Arial"/>
        <family val="2"/>
      </rPr>
      <t>Transactions!J2:K8</t>
    </r>
  </si>
  <si>
    <t>SWEPCO-Valley</t>
  </si>
  <si>
    <t>* SPP bills customer on third business day, AEP receives on 24th or next business day.</t>
  </si>
  <si>
    <t>AECI</t>
  </si>
  <si>
    <t>Tax Rebilling Rate</t>
  </si>
  <si>
    <t>Tax True Up Billing</t>
  </si>
  <si>
    <t>Tax True Up</t>
  </si>
  <si>
    <t>Sum of Tax True Up Billing</t>
  </si>
  <si>
    <t>Total Sum of Tax True Up Billing</t>
  </si>
  <si>
    <t>Sum of Tax True Up</t>
  </si>
  <si>
    <t>Total Sum of Tax True Up</t>
  </si>
  <si>
    <t>(G) = (D) + (E) - (F)</t>
  </si>
  <si>
    <t>(G)</t>
  </si>
  <si>
    <t>January - December</t>
  </si>
  <si>
    <t>PUBLIC SERVICE COMPANY of OKLAHOMA &amp; SOUTHWESTERN ELECTRIC POWER</t>
  </si>
  <si>
    <t>AEPTCo Formula Rate -- FERC Docket ER18-195</t>
  </si>
  <si>
    <t>Network Customer True-Up (Schedule 1 charges)</t>
  </si>
  <si>
    <r>
      <t>2023 True-Up
(</t>
    </r>
    <r>
      <rPr>
        <sz val="10"/>
        <rFont val="Arial"/>
        <family val="2"/>
      </rPr>
      <t>w/o Interest)</t>
    </r>
  </si>
  <si>
    <t>2023 Interest</t>
  </si>
  <si>
    <t>Total 2023
True-Up Surcharge / (Refund)</t>
  </si>
  <si>
    <t>2023 True Up Including 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</si>
</sst>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_(* #,##0_);_(* \(#,##0\);_(* &quot;-&quot;??_);_(@_)"/>
    <numFmt numFmtId="167" formatCode="&quot;$&quot;#,##0"/>
    <numFmt numFmtId="168" formatCode="0.0%"/>
  </numFmts>
  <fonts count="2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name val="Arial"/>
      <family val="2"/>
    </font>
    <font>
      <i/>
      <sz val="9"/>
      <color indexed="10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sz val="10"/>
      <color rgb="FF0000FF"/>
      <name val="Arial"/>
      <family val="2"/>
    </font>
    <font>
      <sz val="8"/>
      <color rgb="FF0066FF"/>
      <name val="Arial"/>
      <family val="2"/>
    </font>
    <font>
      <sz val="10"/>
      <name val="Arial Narrow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237">
    <xf numFmtId="0" fontId="0" fillId="0" borderId="0" xfId="0"/>
    <xf numFmtId="0" fontId="0" fillId="0" borderId="0" xfId="0" applyProtection="1"/>
    <xf numFmtId="0" fontId="0" fillId="0" borderId="0" xfId="0" applyFill="1" applyProtection="1"/>
    <xf numFmtId="0" fontId="0" fillId="0" borderId="0" xfId="0" quotePrefix="1" applyAlignment="1" applyProtection="1">
      <alignment horizontal="left"/>
    </xf>
    <xf numFmtId="0" fontId="2" fillId="0" borderId="0" xfId="0" quotePrefix="1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23" fillId="6" borderId="0" xfId="0" applyFont="1" applyFill="1" applyProtection="1"/>
    <xf numFmtId="0" fontId="2" fillId="2" borderId="0" xfId="0" quotePrefix="1" applyFont="1" applyFill="1" applyAlignment="1" applyProtection="1">
      <alignment horizontal="left"/>
    </xf>
    <xf numFmtId="0" fontId="0" fillId="2" borderId="0" xfId="0" applyFill="1" applyProtection="1"/>
    <xf numFmtId="0" fontId="10" fillId="0" borderId="0" xfId="0" quotePrefix="1" applyFont="1" applyAlignment="1" applyProtection="1">
      <alignment horizontal="left"/>
    </xf>
    <xf numFmtId="0" fontId="3" fillId="0" borderId="0" xfId="0" quotePrefix="1" applyFont="1" applyAlignment="1" applyProtection="1">
      <alignment horizontal="left"/>
    </xf>
    <xf numFmtId="0" fontId="16" fillId="0" borderId="1" xfId="0" quotePrefix="1" applyFont="1" applyFill="1" applyBorder="1" applyAlignment="1" applyProtection="1">
      <alignment horizontal="center" vertical="center"/>
    </xf>
    <xf numFmtId="0" fontId="15" fillId="0" borderId="2" xfId="0" quotePrefix="1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15" fillId="0" borderId="4" xfId="0" quotePrefix="1" applyFont="1" applyBorder="1" applyAlignment="1" applyProtection="1">
      <alignment horizontal="right"/>
    </xf>
    <xf numFmtId="0" fontId="15" fillId="0" borderId="0" xfId="0" quotePrefix="1" applyFont="1" applyBorder="1" applyAlignment="1" applyProtection="1">
      <alignment horizontal="right"/>
    </xf>
    <xf numFmtId="164" fontId="4" fillId="0" borderId="0" xfId="0" applyNumberFormat="1" applyFont="1" applyFill="1" applyBorder="1" applyAlignment="1" applyProtection="1">
      <alignment horizontal="centerContinuous"/>
    </xf>
    <xf numFmtId="0" fontId="14" fillId="0" borderId="5" xfId="0" applyFont="1" applyBorder="1" applyAlignment="1" applyProtection="1">
      <alignment horizontal="center" vertical="center" wrapText="1"/>
    </xf>
    <xf numFmtId="0" fontId="14" fillId="0" borderId="0" xfId="0" quotePrefix="1" applyFont="1" applyAlignment="1" applyProtection="1">
      <alignment horizontal="center" vertical="center" wrapText="1"/>
    </xf>
    <xf numFmtId="0" fontId="14" fillId="0" borderId="6" xfId="0" quotePrefix="1" applyFont="1" applyBorder="1" applyAlignment="1" applyProtection="1">
      <alignment horizontal="center" vertical="center" wrapText="1"/>
    </xf>
    <xf numFmtId="0" fontId="14" fillId="0" borderId="0" xfId="0" quotePrefix="1" applyFont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left"/>
    </xf>
    <xf numFmtId="0" fontId="15" fillId="0" borderId="2" xfId="0" quotePrefix="1" applyFont="1" applyBorder="1" applyAlignment="1" applyProtection="1">
      <alignment horizontal="left" vertical="center"/>
    </xf>
    <xf numFmtId="0" fontId="15" fillId="0" borderId="3" xfId="0" quotePrefix="1" applyFont="1" applyBorder="1" applyAlignment="1" applyProtection="1">
      <alignment horizontal="left" vertical="center"/>
    </xf>
    <xf numFmtId="167" fontId="1" fillId="0" borderId="3" xfId="0" applyNumberFormat="1" applyFont="1" applyFill="1" applyBorder="1" applyAlignment="1" applyProtection="1">
      <alignment horizontal="center" vertical="center"/>
    </xf>
    <xf numFmtId="0" fontId="12" fillId="0" borderId="3" xfId="0" applyFont="1" applyFill="1" applyBorder="1" applyAlignment="1" applyProtection="1">
      <alignment horizontal="center" vertical="center"/>
    </xf>
    <xf numFmtId="167" fontId="13" fillId="0" borderId="4" xfId="0" applyNumberFormat="1" applyFont="1" applyFill="1" applyBorder="1" applyAlignment="1" applyProtection="1">
      <alignment horizontal="center" vertical="center"/>
    </xf>
    <xf numFmtId="167" fontId="13" fillId="0" borderId="0" xfId="0" applyNumberFormat="1" applyFont="1" applyFill="1" applyBorder="1" applyAlignment="1" applyProtection="1">
      <alignment horizontal="center" vertical="center"/>
    </xf>
    <xf numFmtId="0" fontId="15" fillId="0" borderId="7" xfId="0" applyFont="1" applyBorder="1" applyAlignment="1" applyProtection="1">
      <alignment vertical="center"/>
    </xf>
    <xf numFmtId="0" fontId="15" fillId="0" borderId="8" xfId="0" quotePrefix="1" applyFont="1" applyBorder="1" applyAlignment="1" applyProtection="1">
      <alignment horizontal="left" vertical="center"/>
    </xf>
    <xf numFmtId="0" fontId="12" fillId="0" borderId="8" xfId="0" quotePrefix="1" applyFont="1" applyFill="1" applyBorder="1" applyAlignment="1" applyProtection="1">
      <alignment horizontal="center" vertical="center"/>
    </xf>
    <xf numFmtId="167" fontId="13" fillId="0" borderId="8" xfId="0" quotePrefix="1" applyNumberFormat="1" applyFont="1" applyFill="1" applyBorder="1" applyAlignment="1" applyProtection="1">
      <alignment horizontal="center" vertical="center"/>
    </xf>
    <xf numFmtId="0" fontId="13" fillId="0" borderId="9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/>
    </xf>
    <xf numFmtId="0" fontId="15" fillId="0" borderId="10" xfId="0" quotePrefix="1" applyFont="1" applyBorder="1" applyAlignment="1" applyProtection="1">
      <alignment horizontal="left" vertical="center"/>
    </xf>
    <xf numFmtId="0" fontId="15" fillId="0" borderId="0" xfId="0" quotePrefix="1" applyFont="1" applyBorder="1" applyAlignment="1" applyProtection="1">
      <alignment horizontal="left" vertical="center"/>
    </xf>
    <xf numFmtId="164" fontId="13" fillId="0" borderId="0" xfId="0" quotePrefix="1" applyNumberFormat="1" applyFont="1" applyFill="1" applyBorder="1" applyAlignment="1" applyProtection="1">
      <alignment horizontal="center" vertical="center" wrapText="1"/>
    </xf>
    <xf numFmtId="164" fontId="13" fillId="0" borderId="11" xfId="0" quotePrefix="1" applyNumberFormat="1" applyFont="1" applyFill="1" applyBorder="1" applyAlignment="1" applyProtection="1">
      <alignment horizontal="center" vertical="center"/>
    </xf>
    <xf numFmtId="164" fontId="13" fillId="0" borderId="0" xfId="0" quotePrefix="1" applyNumberFormat="1" applyFont="1" applyFill="1" applyBorder="1" applyAlignment="1" applyProtection="1">
      <alignment horizontal="center" vertical="center"/>
    </xf>
    <xf numFmtId="0" fontId="15" fillId="0" borderId="5" xfId="0" applyFont="1" applyBorder="1" applyAlignment="1" applyProtection="1">
      <alignment vertical="center"/>
    </xf>
    <xf numFmtId="0" fontId="15" fillId="0" borderId="1" xfId="0" quotePrefix="1" applyFont="1" applyBorder="1" applyAlignment="1" applyProtection="1">
      <alignment horizontal="left" vertical="center"/>
    </xf>
    <xf numFmtId="0" fontId="12" fillId="0" borderId="1" xfId="0" applyFont="1" applyFill="1" applyBorder="1" applyAlignment="1" applyProtection="1">
      <alignment horizontal="center" vertical="center"/>
    </xf>
    <xf numFmtId="164" fontId="1" fillId="0" borderId="1" xfId="0" quotePrefix="1" applyNumberFormat="1" applyFont="1" applyFill="1" applyBorder="1" applyAlignment="1" applyProtection="1">
      <alignment horizontal="center" vertical="center"/>
    </xf>
    <xf numFmtId="0" fontId="13" fillId="0" borderId="6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14" fillId="0" borderId="0" xfId="0" quotePrefix="1" applyFont="1" applyFill="1" applyBorder="1" applyAlignment="1" applyProtection="1">
      <alignment horizontal="left"/>
    </xf>
    <xf numFmtId="0" fontId="10" fillId="0" borderId="0" xfId="0" applyFont="1" applyFill="1" applyBorder="1" applyProtection="1"/>
    <xf numFmtId="0" fontId="10" fillId="0" borderId="0" xfId="0" quotePrefix="1" applyFont="1" applyFill="1" applyBorder="1" applyAlignment="1" applyProtection="1">
      <alignment horizontal="center"/>
    </xf>
    <xf numFmtId="164" fontId="0" fillId="0" borderId="0" xfId="0" applyNumberFormat="1" applyBorder="1" applyAlignment="1" applyProtection="1">
      <alignment horizontal="center"/>
    </xf>
    <xf numFmtId="0" fontId="0" fillId="0" borderId="0" xfId="0" applyBorder="1" applyProtection="1"/>
    <xf numFmtId="165" fontId="0" fillId="0" borderId="0" xfId="2" applyNumberFormat="1" applyFont="1" applyBorder="1" applyProtection="1"/>
    <xf numFmtId="0" fontId="0" fillId="0" borderId="0" xfId="0" quotePrefix="1" applyBorder="1" applyAlignment="1" applyProtection="1">
      <alignment horizontal="left"/>
    </xf>
    <xf numFmtId="0" fontId="0" fillId="0" borderId="0" xfId="0" applyBorder="1" applyAlignment="1" applyProtection="1">
      <alignment horizontal="center" vertical="center"/>
    </xf>
    <xf numFmtId="0" fontId="0" fillId="0" borderId="0" xfId="0" quotePrefix="1" applyBorder="1" applyAlignment="1" applyProtection="1">
      <alignment horizontal="center" vertical="center"/>
    </xf>
    <xf numFmtId="0" fontId="3" fillId="0" borderId="12" xfId="0" quotePrefix="1" applyFont="1" applyBorder="1" applyAlignment="1" applyProtection="1">
      <alignment horizontal="left" vertical="center" wrapText="1"/>
    </xf>
    <xf numFmtId="0" fontId="3" fillId="0" borderId="13" xfId="0" quotePrefix="1" applyFont="1" applyBorder="1" applyAlignment="1" applyProtection="1">
      <alignment horizontal="center" vertical="center" wrapText="1"/>
    </xf>
    <xf numFmtId="0" fontId="3" fillId="0" borderId="14" xfId="0" quotePrefix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165" fontId="0" fillId="0" borderId="0" xfId="0" applyNumberFormat="1" applyProtection="1"/>
    <xf numFmtId="0" fontId="0" fillId="0" borderId="10" xfId="0" applyBorder="1" applyProtection="1"/>
    <xf numFmtId="165" fontId="0" fillId="0" borderId="16" xfId="2" applyNumberFormat="1" applyFont="1" applyBorder="1" applyProtection="1"/>
    <xf numFmtId="165" fontId="0" fillId="0" borderId="17" xfId="2" applyNumberFormat="1" applyFont="1" applyBorder="1" applyProtection="1"/>
    <xf numFmtId="0" fontId="0" fillId="0" borderId="10" xfId="0" quotePrefix="1" applyBorder="1" applyAlignment="1" applyProtection="1">
      <alignment horizontal="left"/>
    </xf>
    <xf numFmtId="43" fontId="0" fillId="0" borderId="0" xfId="0" applyNumberFormat="1" applyBorder="1" applyProtection="1"/>
    <xf numFmtId="0" fontId="0" fillId="0" borderId="19" xfId="0" applyBorder="1" applyProtection="1"/>
    <xf numFmtId="0" fontId="9" fillId="3" borderId="20" xfId="0" quotePrefix="1" applyFont="1" applyFill="1" applyBorder="1" applyAlignment="1" applyProtection="1">
      <alignment horizontal="left" vertical="center" wrapText="1"/>
    </xf>
    <xf numFmtId="165" fontId="0" fillId="3" borderId="21" xfId="2" applyNumberFormat="1" applyFont="1" applyFill="1" applyBorder="1" applyAlignment="1" applyProtection="1">
      <alignment vertical="center"/>
    </xf>
    <xf numFmtId="165" fontId="0" fillId="3" borderId="22" xfId="2" applyNumberFormat="1" applyFont="1" applyFill="1" applyBorder="1" applyAlignment="1" applyProtection="1">
      <alignment vertical="center"/>
    </xf>
    <xf numFmtId="165" fontId="3" fillId="3" borderId="23" xfId="2" applyNumberFormat="1" applyFont="1" applyFill="1" applyBorder="1" applyAlignment="1" applyProtection="1">
      <alignment vertical="center"/>
    </xf>
    <xf numFmtId="0" fontId="0" fillId="0" borderId="25" xfId="0" quotePrefix="1" applyBorder="1" applyAlignment="1" applyProtection="1">
      <alignment horizontal="left"/>
    </xf>
    <xf numFmtId="0" fontId="0" fillId="0" borderId="18" xfId="0" applyBorder="1" applyProtection="1"/>
    <xf numFmtId="0" fontId="0" fillId="0" borderId="26" xfId="0" applyBorder="1" applyProtection="1"/>
    <xf numFmtId="0" fontId="9" fillId="0" borderId="20" xfId="0" quotePrefix="1" applyFont="1" applyFill="1" applyBorder="1" applyAlignment="1" applyProtection="1">
      <alignment horizontal="left" vertical="center" wrapText="1"/>
    </xf>
    <xf numFmtId="165" fontId="0" fillId="0" borderId="21" xfId="2" applyNumberFormat="1" applyFont="1" applyFill="1" applyBorder="1" applyAlignment="1" applyProtection="1">
      <alignment vertical="center"/>
    </xf>
    <xf numFmtId="165" fontId="0" fillId="0" borderId="22" xfId="2" applyNumberFormat="1" applyFont="1" applyFill="1" applyBorder="1" applyAlignment="1" applyProtection="1">
      <alignment vertical="center"/>
    </xf>
    <xf numFmtId="165" fontId="3" fillId="0" borderId="23" xfId="2" applyNumberFormat="1" applyFont="1" applyFill="1" applyBorder="1" applyAlignment="1" applyProtection="1">
      <alignment vertical="center"/>
    </xf>
    <xf numFmtId="166" fontId="0" fillId="0" borderId="0" xfId="1" applyNumberFormat="1" applyFont="1" applyProtection="1"/>
    <xf numFmtId="0" fontId="9" fillId="0" borderId="5" xfId="0" quotePrefix="1" applyFont="1" applyBorder="1" applyAlignment="1" applyProtection="1">
      <alignment horizontal="center" vertical="center" wrapText="1"/>
    </xf>
    <xf numFmtId="165" fontId="0" fillId="0" borderId="27" xfId="2" applyNumberFormat="1" applyFont="1" applyBorder="1" applyAlignment="1" applyProtection="1">
      <alignment vertical="center"/>
    </xf>
    <xf numFmtId="165" fontId="0" fillId="0" borderId="28" xfId="2" applyNumberFormat="1" applyFont="1" applyBorder="1" applyAlignment="1" applyProtection="1">
      <alignment vertical="center"/>
    </xf>
    <xf numFmtId="165" fontId="0" fillId="0" borderId="29" xfId="2" applyNumberFormat="1" applyFont="1" applyBorder="1" applyAlignment="1" applyProtection="1">
      <alignment vertical="center"/>
    </xf>
    <xf numFmtId="166" fontId="0" fillId="0" borderId="0" xfId="0" applyNumberFormat="1" applyProtection="1"/>
    <xf numFmtId="0" fontId="0" fillId="0" borderId="34" xfId="0" applyBorder="1" applyProtection="1"/>
    <xf numFmtId="0" fontId="0" fillId="0" borderId="35" xfId="0" applyBorder="1" applyProtection="1"/>
    <xf numFmtId="0" fontId="0" fillId="0" borderId="34" xfId="0" pivotButton="1" applyBorder="1" applyProtection="1"/>
    <xf numFmtId="0" fontId="0" fillId="0" borderId="36" xfId="0" applyBorder="1" applyProtection="1"/>
    <xf numFmtId="17" fontId="0" fillId="0" borderId="34" xfId="0" applyNumberFormat="1" applyBorder="1" applyProtection="1"/>
    <xf numFmtId="17" fontId="0" fillId="0" borderId="37" xfId="0" applyNumberFormat="1" applyBorder="1" applyProtection="1"/>
    <xf numFmtId="17" fontId="0" fillId="0" borderId="38" xfId="0" applyNumberFormat="1" applyBorder="1" applyProtection="1"/>
    <xf numFmtId="166" fontId="0" fillId="0" borderId="34" xfId="0" applyNumberFormat="1" applyBorder="1" applyProtection="1"/>
    <xf numFmtId="166" fontId="0" fillId="0" borderId="37" xfId="0" applyNumberFormat="1" applyBorder="1" applyProtection="1"/>
    <xf numFmtId="166" fontId="0" fillId="0" borderId="38" xfId="0" applyNumberFormat="1" applyBorder="1" applyProtection="1"/>
    <xf numFmtId="0" fontId="0" fillId="0" borderId="39" xfId="0" applyBorder="1" applyProtection="1"/>
    <xf numFmtId="166" fontId="0" fillId="0" borderId="39" xfId="0" applyNumberFormat="1" applyBorder="1" applyProtection="1"/>
    <xf numFmtId="166" fontId="0" fillId="0" borderId="40" xfId="0" applyNumberFormat="1" applyBorder="1" applyProtection="1"/>
    <xf numFmtId="0" fontId="0" fillId="0" borderId="41" xfId="0" applyBorder="1" applyProtection="1"/>
    <xf numFmtId="166" fontId="0" fillId="0" borderId="41" xfId="0" applyNumberFormat="1" applyBorder="1" applyProtection="1"/>
    <xf numFmtId="166" fontId="0" fillId="0" borderId="42" xfId="0" applyNumberFormat="1" applyBorder="1" applyProtection="1"/>
    <xf numFmtId="166" fontId="0" fillId="0" borderId="43" xfId="0" applyNumberFormat="1" applyBorder="1" applyProtection="1"/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164" fontId="4" fillId="0" borderId="2" xfId="0" applyNumberFormat="1" applyFont="1" applyBorder="1" applyAlignment="1" applyProtection="1">
      <alignment horizontal="center"/>
    </xf>
    <xf numFmtId="164" fontId="4" fillId="0" borderId="3" xfId="0" applyNumberFormat="1" applyFont="1" applyBorder="1" applyAlignment="1" applyProtection="1">
      <alignment horizontal="centerContinuous"/>
    </xf>
    <xf numFmtId="0" fontId="0" fillId="0" borderId="3" xfId="0" applyBorder="1" applyAlignment="1" applyProtection="1">
      <alignment horizontal="centerContinuous"/>
    </xf>
    <xf numFmtId="164" fontId="9" fillId="0" borderId="14" xfId="0" applyNumberFormat="1" applyFont="1" applyBorder="1" applyAlignment="1" applyProtection="1">
      <alignment horizontal="center" wrapText="1"/>
    </xf>
    <xf numFmtId="164" fontId="4" fillId="0" borderId="14" xfId="0" applyNumberFormat="1" applyFont="1" applyBorder="1" applyAlignment="1" applyProtection="1">
      <alignment horizontal="center" wrapText="1"/>
    </xf>
    <xf numFmtId="0" fontId="0" fillId="0" borderId="15" xfId="0" applyBorder="1" applyProtection="1"/>
    <xf numFmtId="0" fontId="21" fillId="6" borderId="0" xfId="0" applyFont="1" applyFill="1" applyProtection="1"/>
    <xf numFmtId="0" fontId="0" fillId="0" borderId="1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164" fontId="6" fillId="0" borderId="0" xfId="0" applyNumberFormat="1" applyFont="1" applyBorder="1" applyAlignment="1" applyProtection="1">
      <alignment horizontal="center"/>
    </xf>
    <xf numFmtId="167" fontId="7" fillId="6" borderId="0" xfId="0" applyNumberFormat="1" applyFont="1" applyFill="1" applyBorder="1" applyAlignment="1" applyProtection="1">
      <alignment horizontal="right"/>
    </xf>
    <xf numFmtId="10" fontId="24" fillId="0" borderId="0" xfId="4" quotePrefix="1" applyNumberFormat="1" applyFont="1" applyBorder="1" applyAlignment="1" applyProtection="1">
      <alignment horizontal="left"/>
    </xf>
    <xf numFmtId="0" fontId="0" fillId="0" borderId="11" xfId="0" applyBorder="1" applyProtection="1"/>
    <xf numFmtId="164" fontId="7" fillId="6" borderId="0" xfId="0" applyNumberFormat="1" applyFont="1" applyFill="1" applyBorder="1" applyAlignment="1" applyProtection="1">
      <alignment horizontal="right"/>
    </xf>
    <xf numFmtId="0" fontId="0" fillId="0" borderId="0" xfId="0" applyBorder="1" applyAlignment="1" applyProtection="1">
      <alignment horizontal="right"/>
    </xf>
    <xf numFmtId="0" fontId="0" fillId="0" borderId="11" xfId="0" applyBorder="1" applyAlignment="1" applyProtection="1">
      <alignment horizontal="center"/>
    </xf>
    <xf numFmtId="168" fontId="0" fillId="0" borderId="11" xfId="4" applyNumberFormat="1" applyFont="1" applyBorder="1" applyAlignment="1" applyProtection="1">
      <alignment horizontal="center"/>
    </xf>
    <xf numFmtId="168" fontId="0" fillId="0" borderId="0" xfId="4" applyNumberFormat="1" applyFont="1" applyBorder="1" applyAlignment="1" applyProtection="1">
      <alignment horizontal="center"/>
    </xf>
    <xf numFmtId="0" fontId="0" fillId="0" borderId="30" xfId="0" applyBorder="1" applyProtection="1"/>
    <xf numFmtId="164" fontId="4" fillId="0" borderId="10" xfId="0" applyNumberFormat="1" applyFont="1" applyBorder="1" applyAlignment="1" applyProtection="1">
      <alignment horizontal="center"/>
    </xf>
    <xf numFmtId="164" fontId="4" fillId="0" borderId="0" xfId="0" applyNumberFormat="1" applyFont="1" applyBorder="1" applyAlignment="1" applyProtection="1">
      <alignment horizontal="centerContinuous"/>
    </xf>
    <xf numFmtId="0" fontId="0" fillId="0" borderId="0" xfId="0" applyBorder="1" applyAlignment="1" applyProtection="1">
      <alignment horizontal="centerContinuous"/>
    </xf>
    <xf numFmtId="164" fontId="19" fillId="0" borderId="0" xfId="0" applyNumberFormat="1" applyFont="1" applyBorder="1" applyAlignment="1" applyProtection="1">
      <alignment horizontal="center" wrapText="1"/>
    </xf>
    <xf numFmtId="164" fontId="4" fillId="0" borderId="0" xfId="0" quotePrefix="1" applyNumberFormat="1" applyFont="1" applyBorder="1" applyAlignment="1" applyProtection="1">
      <alignment horizontal="center" wrapText="1"/>
    </xf>
    <xf numFmtId="167" fontId="1" fillId="0" borderId="0" xfId="0" applyNumberFormat="1" applyFont="1" applyFill="1" applyBorder="1" applyAlignment="1" applyProtection="1">
      <alignment horizontal="right"/>
    </xf>
    <xf numFmtId="168" fontId="0" fillId="0" borderId="11" xfId="0" applyNumberFormat="1" applyBorder="1" applyProtection="1"/>
    <xf numFmtId="168" fontId="0" fillId="0" borderId="0" xfId="0" applyNumberFormat="1" applyBorder="1" applyProtection="1"/>
    <xf numFmtId="164" fontId="1" fillId="0" borderId="0" xfId="0" applyNumberFormat="1" applyFont="1" applyFill="1" applyBorder="1" applyAlignment="1" applyProtection="1">
      <alignment horizontal="right"/>
    </xf>
    <xf numFmtId="0" fontId="1" fillId="0" borderId="0" xfId="0" quotePrefix="1" applyFont="1" applyBorder="1" applyAlignment="1" applyProtection="1">
      <alignment horizontal="center"/>
    </xf>
    <xf numFmtId="0" fontId="3" fillId="0" borderId="0" xfId="0" applyFont="1" applyAlignment="1" applyProtection="1">
      <alignment horizontal="left"/>
    </xf>
    <xf numFmtId="164" fontId="20" fillId="0" borderId="0" xfId="0" quotePrefix="1" applyNumberFormat="1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right"/>
    </xf>
    <xf numFmtId="0" fontId="0" fillId="0" borderId="0" xfId="0" quotePrefix="1" applyFill="1" applyBorder="1" applyAlignment="1" applyProtection="1">
      <alignment horizontal="center"/>
    </xf>
    <xf numFmtId="164" fontId="6" fillId="0" borderId="0" xfId="0" applyNumberFormat="1" applyFont="1" applyAlignment="1" applyProtection="1">
      <alignment horizontal="left"/>
    </xf>
    <xf numFmtId="0" fontId="0" fillId="0" borderId="5" xfId="0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horizontal="center"/>
    </xf>
    <xf numFmtId="164" fontId="20" fillId="0" borderId="1" xfId="0" quotePrefix="1" applyNumberFormat="1" applyFont="1" applyFill="1" applyBorder="1" applyAlignment="1" applyProtection="1">
      <alignment horizontal="left"/>
    </xf>
    <xf numFmtId="164" fontId="1" fillId="0" borderId="1" xfId="0" applyNumberFormat="1" applyFont="1" applyFill="1" applyBorder="1" applyAlignment="1" applyProtection="1">
      <alignment horizontal="right"/>
    </xf>
    <xf numFmtId="10" fontId="1" fillId="0" borderId="1" xfId="4" quotePrefix="1" applyNumberFormat="1" applyFont="1" applyFill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30" xfId="0" applyBorder="1" applyAlignment="1" applyProtection="1">
      <alignment horizontal="center"/>
    </xf>
    <xf numFmtId="0" fontId="11" fillId="0" borderId="0" xfId="0" quotePrefix="1" applyFont="1" applyAlignment="1" applyProtection="1">
      <alignment horizontal="left"/>
    </xf>
    <xf numFmtId="0" fontId="0" fillId="0" borderId="0" xfId="0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right"/>
    </xf>
    <xf numFmtId="10" fontId="0" fillId="0" borderId="0" xfId="4" applyNumberFormat="1" applyFont="1" applyAlignment="1" applyProtection="1">
      <alignment horizontal="center"/>
    </xf>
    <xf numFmtId="0" fontId="0" fillId="0" borderId="30" xfId="0" quotePrefix="1" applyBorder="1" applyAlignment="1" applyProtection="1">
      <alignment horizontal="right"/>
    </xf>
    <xf numFmtId="0" fontId="0" fillId="0" borderId="22" xfId="0" applyBorder="1" applyAlignment="1" applyProtection="1">
      <alignment horizontal="center"/>
    </xf>
    <xf numFmtId="0" fontId="1" fillId="0" borderId="22" xfId="0" applyFont="1" applyFill="1" applyBorder="1" applyAlignment="1" applyProtection="1">
      <alignment horizontal="center"/>
    </xf>
    <xf numFmtId="164" fontId="3" fillId="0" borderId="24" xfId="0" applyNumberFormat="1" applyFont="1" applyBorder="1" applyAlignment="1" applyProtection="1">
      <alignment horizontal="right"/>
    </xf>
    <xf numFmtId="167" fontId="0" fillId="0" borderId="22" xfId="0" applyNumberFormat="1" applyBorder="1" applyAlignment="1" applyProtection="1">
      <alignment horizontal="center"/>
    </xf>
    <xf numFmtId="167" fontId="0" fillId="4" borderId="24" xfId="0" applyNumberFormat="1" applyFill="1" applyBorder="1" applyAlignment="1" applyProtection="1">
      <alignment horizontal="center"/>
    </xf>
    <xf numFmtId="167" fontId="0" fillId="0" borderId="31" xfId="0" applyNumberFormat="1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164" fontId="3" fillId="0" borderId="26" xfId="0" applyNumberFormat="1" applyFont="1" applyBorder="1" applyAlignment="1" applyProtection="1">
      <alignment horizontal="right"/>
    </xf>
    <xf numFmtId="14" fontId="1" fillId="0" borderId="16" xfId="0" quotePrefix="1" applyNumberFormat="1" applyFont="1" applyFill="1" applyBorder="1" applyAlignment="1" applyProtection="1">
      <alignment horizontal="left"/>
    </xf>
    <xf numFmtId="164" fontId="5" fillId="0" borderId="0" xfId="0" applyNumberFormat="1" applyFont="1" applyBorder="1" applyAlignment="1" applyProtection="1">
      <alignment horizontal="center"/>
    </xf>
    <xf numFmtId="164" fontId="5" fillId="0" borderId="30" xfId="0" applyNumberFormat="1" applyFont="1" applyBorder="1" applyAlignment="1" applyProtection="1">
      <alignment horizontal="right"/>
    </xf>
    <xf numFmtId="0" fontId="1" fillId="0" borderId="0" xfId="0" quotePrefix="1" applyFont="1" applyAlignment="1" applyProtection="1">
      <alignment horizontal="left"/>
    </xf>
    <xf numFmtId="166" fontId="1" fillId="0" borderId="0" xfId="1" applyNumberFormat="1" applyFont="1" applyFill="1" applyAlignment="1" applyProtection="1">
      <alignment horizontal="right"/>
    </xf>
    <xf numFmtId="166" fontId="1" fillId="0" borderId="0" xfId="1" quotePrefix="1" applyNumberFormat="1" applyFont="1" applyFill="1" applyAlignment="1" applyProtection="1">
      <alignment horizontal="left"/>
    </xf>
    <xf numFmtId="164" fontId="5" fillId="0" borderId="30" xfId="0" applyNumberFormat="1" applyFont="1" applyBorder="1" applyAlignment="1" applyProtection="1">
      <alignment horizontal="center"/>
    </xf>
    <xf numFmtId="14" fontId="0" fillId="0" borderId="16" xfId="0" quotePrefix="1" applyNumberFormat="1" applyFill="1" applyBorder="1" applyAlignment="1" applyProtection="1">
      <alignment horizontal="left"/>
    </xf>
    <xf numFmtId="44" fontId="5" fillId="0" borderId="0" xfId="2" applyNumberFormat="1" applyFont="1" applyAlignment="1" applyProtection="1">
      <alignment horizontal="center"/>
    </xf>
    <xf numFmtId="9" fontId="1" fillId="0" borderId="0" xfId="4" applyFont="1" applyAlignment="1" applyProtection="1">
      <alignment horizontal="center"/>
    </xf>
    <xf numFmtId="44" fontId="5" fillId="0" borderId="0" xfId="2" applyFont="1" applyAlignment="1" applyProtection="1">
      <alignment horizontal="center"/>
    </xf>
    <xf numFmtId="44" fontId="5" fillId="0" borderId="30" xfId="2" applyFont="1" applyBorder="1" applyAlignment="1" applyProtection="1">
      <alignment horizontal="center"/>
    </xf>
    <xf numFmtId="165" fontId="1" fillId="0" borderId="0" xfId="2" applyNumberFormat="1" applyFont="1" applyAlignment="1" applyProtection="1">
      <alignment horizontal="center"/>
    </xf>
    <xf numFmtId="0" fontId="4" fillId="0" borderId="0" xfId="0" quotePrefix="1" applyFont="1" applyBorder="1" applyAlignment="1" applyProtection="1">
      <alignment horizontal="center"/>
    </xf>
    <xf numFmtId="0" fontId="4" fillId="0" borderId="32" xfId="0" quotePrefix="1" applyFont="1" applyBorder="1" applyAlignment="1" applyProtection="1">
      <alignment horizontal="center"/>
    </xf>
    <xf numFmtId="164" fontId="4" fillId="0" borderId="21" xfId="0" quotePrefix="1" applyNumberFormat="1" applyFont="1" applyBorder="1" applyAlignment="1" applyProtection="1">
      <alignment horizontal="center" vertical="center" wrapText="1"/>
    </xf>
    <xf numFmtId="0" fontId="4" fillId="0" borderId="22" xfId="0" quotePrefix="1" applyFont="1" applyBorder="1" applyAlignment="1" applyProtection="1">
      <alignment horizontal="center" vertical="center" wrapText="1"/>
    </xf>
    <xf numFmtId="164" fontId="4" fillId="5" borderId="22" xfId="0" quotePrefix="1" applyNumberFormat="1" applyFont="1" applyFill="1" applyBorder="1" applyAlignment="1" applyProtection="1">
      <alignment horizontal="center" vertical="center" wrapText="1"/>
    </xf>
    <xf numFmtId="164" fontId="4" fillId="0" borderId="22" xfId="0" applyNumberFormat="1" applyFont="1" applyBorder="1" applyAlignment="1" applyProtection="1">
      <alignment horizontal="center" vertical="center" wrapText="1"/>
    </xf>
    <xf numFmtId="164" fontId="4" fillId="0" borderId="31" xfId="0" applyNumberFormat="1" applyFont="1" applyBorder="1" applyAlignment="1" applyProtection="1">
      <alignment horizontal="center" vertical="center" wrapText="1"/>
    </xf>
    <xf numFmtId="164" fontId="4" fillId="0" borderId="32" xfId="0" applyNumberFormat="1" applyFont="1" applyBorder="1" applyAlignment="1" applyProtection="1">
      <alignment horizontal="center" vertical="center" wrapText="1"/>
    </xf>
    <xf numFmtId="164" fontId="4" fillId="0" borderId="26" xfId="0" applyNumberFormat="1" applyFont="1" applyBorder="1" applyAlignment="1" applyProtection="1">
      <alignment horizontal="center" vertical="center" wrapText="1"/>
    </xf>
    <xf numFmtId="17" fontId="0" fillId="0" borderId="0" xfId="0" applyNumberFormat="1" applyBorder="1" applyAlignment="1" applyProtection="1">
      <alignment horizontal="center"/>
    </xf>
    <xf numFmtId="14" fontId="7" fillId="2" borderId="0" xfId="0" applyNumberFormat="1" applyFont="1" applyFill="1" applyBorder="1" applyAlignment="1" applyProtection="1">
      <alignment horizontal="left"/>
    </xf>
    <xf numFmtId="1" fontId="8" fillId="6" borderId="0" xfId="0" applyNumberFormat="1" applyFont="1" applyFill="1" applyBorder="1" applyAlignment="1" applyProtection="1">
      <alignment horizontal="center"/>
    </xf>
    <xf numFmtId="164" fontId="6" fillId="0" borderId="0" xfId="0" applyNumberFormat="1" applyFont="1" applyBorder="1" applyProtection="1"/>
    <xf numFmtId="164" fontId="1" fillId="0" borderId="0" xfId="0" applyNumberFormat="1" applyFont="1" applyAlignment="1" applyProtection="1">
      <alignment horizontal="right"/>
    </xf>
    <xf numFmtId="164" fontId="0" fillId="0" borderId="0" xfId="0" applyNumberFormat="1" applyBorder="1" applyAlignment="1" applyProtection="1"/>
    <xf numFmtId="164" fontId="1" fillId="0" borderId="0" xfId="0" applyNumberFormat="1" applyFont="1" applyAlignment="1" applyProtection="1"/>
    <xf numFmtId="164" fontId="1" fillId="0" borderId="0" xfId="0" applyNumberFormat="1" applyFont="1" applyBorder="1" applyAlignment="1" applyProtection="1">
      <alignment horizontal="right"/>
    </xf>
    <xf numFmtId="164" fontId="0" fillId="0" borderId="18" xfId="0" applyNumberFormat="1" applyBorder="1" applyAlignment="1" applyProtection="1">
      <alignment horizontal="right"/>
    </xf>
    <xf numFmtId="14" fontId="0" fillId="0" borderId="0" xfId="0" quotePrefix="1" applyNumberFormat="1" applyBorder="1" applyAlignment="1" applyProtection="1">
      <alignment horizontal="left"/>
    </xf>
    <xf numFmtId="164" fontId="1" fillId="0" borderId="0" xfId="0" applyNumberFormat="1" applyFont="1" applyFill="1" applyBorder="1" applyAlignment="1" applyProtection="1"/>
    <xf numFmtId="164" fontId="0" fillId="0" borderId="0" xfId="0" applyNumberFormat="1" applyFill="1" applyBorder="1" applyAlignment="1" applyProtection="1"/>
    <xf numFmtId="164" fontId="6" fillId="0" borderId="8" xfId="0" applyNumberFormat="1" applyFont="1" applyBorder="1" applyProtection="1"/>
    <xf numFmtId="164" fontId="1" fillId="0" borderId="8" xfId="0" applyNumberFormat="1" applyFont="1" applyBorder="1" applyAlignment="1" applyProtection="1">
      <alignment horizontal="right"/>
    </xf>
    <xf numFmtId="164" fontId="0" fillId="0" borderId="8" xfId="0" applyNumberFormat="1" applyFill="1" applyBorder="1" applyAlignment="1" applyProtection="1"/>
    <xf numFmtId="164" fontId="1" fillId="0" borderId="8" xfId="0" applyNumberFormat="1" applyFont="1" applyFill="1" applyBorder="1" applyAlignment="1" applyProtection="1"/>
    <xf numFmtId="17" fontId="0" fillId="0" borderId="33" xfId="0" applyNumberFormat="1" applyBorder="1" applyAlignment="1" applyProtection="1">
      <alignment horizontal="center"/>
    </xf>
    <xf numFmtId="14" fontId="1" fillId="0" borderId="33" xfId="0" applyNumberFormat="1" applyFont="1" applyFill="1" applyBorder="1" applyProtection="1"/>
    <xf numFmtId="14" fontId="7" fillId="2" borderId="33" xfId="0" applyNumberFormat="1" applyFont="1" applyFill="1" applyBorder="1" applyAlignment="1" applyProtection="1">
      <alignment horizontal="left"/>
    </xf>
    <xf numFmtId="0" fontId="0" fillId="0" borderId="33" xfId="0" applyBorder="1" applyAlignment="1" applyProtection="1">
      <alignment horizontal="center"/>
    </xf>
    <xf numFmtId="14" fontId="1" fillId="0" borderId="0" xfId="0" applyNumberFormat="1" applyFont="1" applyFill="1" applyBorder="1" applyProtection="1"/>
    <xf numFmtId="0" fontId="0" fillId="0" borderId="33" xfId="0" applyBorder="1" applyProtection="1"/>
    <xf numFmtId="17" fontId="0" fillId="0" borderId="8" xfId="0" applyNumberFormat="1" applyBorder="1" applyAlignment="1" applyProtection="1">
      <alignment horizontal="center"/>
    </xf>
    <xf numFmtId="0" fontId="0" fillId="0" borderId="8" xfId="0" quotePrefix="1" applyBorder="1" applyAlignment="1" applyProtection="1">
      <alignment horizontal="left"/>
    </xf>
    <xf numFmtId="0" fontId="0" fillId="0" borderId="8" xfId="0" applyBorder="1" applyProtection="1"/>
    <xf numFmtId="14" fontId="1" fillId="0" borderId="8" xfId="0" applyNumberFormat="1" applyFont="1" applyFill="1" applyBorder="1" applyProtection="1"/>
    <xf numFmtId="14" fontId="0" fillId="0" borderId="8" xfId="0" quotePrefix="1" applyNumberFormat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0" fontId="1" fillId="0" borderId="8" xfId="0" applyFont="1" applyFill="1" applyBorder="1" applyAlignment="1" applyProtection="1">
      <alignment horizontal="left"/>
    </xf>
    <xf numFmtId="1" fontId="0" fillId="0" borderId="0" xfId="0" applyNumberFormat="1" applyAlignment="1" applyProtection="1">
      <alignment horizontal="center"/>
    </xf>
    <xf numFmtId="164" fontId="0" fillId="0" borderId="18" xfId="0" applyNumberFormat="1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0" fillId="0" borderId="44" xfId="0" applyBorder="1" applyProtection="1"/>
    <xf numFmtId="0" fontId="0" fillId="0" borderId="45" xfId="0" applyBorder="1" applyProtection="1"/>
    <xf numFmtId="0" fontId="0" fillId="0" borderId="0" xfId="0" quotePrefix="1" applyBorder="1" applyAlignment="1" applyProtection="1">
      <alignment horizontal="center"/>
    </xf>
    <xf numFmtId="167" fontId="7" fillId="6" borderId="24" xfId="0" applyNumberFormat="1" applyFont="1" applyFill="1" applyBorder="1" applyAlignment="1" applyProtection="1">
      <alignment horizontal="center"/>
    </xf>
    <xf numFmtId="164" fontId="4" fillId="0" borderId="14" xfId="0" quotePrefix="1" applyNumberFormat="1" applyFont="1" applyFill="1" applyBorder="1" applyAlignment="1" applyProtection="1">
      <alignment horizontal="center" wrapText="1"/>
    </xf>
    <xf numFmtId="0" fontId="4" fillId="0" borderId="22" xfId="0" applyFont="1" applyFill="1" applyBorder="1" applyAlignment="1" applyProtection="1">
      <alignment horizontal="left" vertical="center"/>
    </xf>
    <xf numFmtId="0" fontId="4" fillId="0" borderId="22" xfId="0" quotePrefix="1" applyFont="1" applyFill="1" applyBorder="1" applyAlignment="1" applyProtection="1">
      <alignment horizontal="center" vertical="center"/>
    </xf>
    <xf numFmtId="14" fontId="7" fillId="6" borderId="0" xfId="3" applyNumberFormat="1" applyFont="1" applyFill="1"/>
    <xf numFmtId="14" fontId="7" fillId="2" borderId="8" xfId="3" applyNumberFormat="1" applyFont="1" applyFill="1" applyBorder="1"/>
    <xf numFmtId="14" fontId="7" fillId="6" borderId="8" xfId="3" applyNumberFormat="1" applyFont="1" applyFill="1" applyBorder="1"/>
    <xf numFmtId="10" fontId="24" fillId="0" borderId="0" xfId="4" quotePrefix="1" applyNumberFormat="1" applyFont="1" applyFill="1" applyBorder="1" applyAlignment="1" applyProtection="1">
      <alignment horizontal="left"/>
    </xf>
    <xf numFmtId="164" fontId="5" fillId="0" borderId="0" xfId="0" applyNumberFormat="1" applyFont="1" applyFill="1" applyBorder="1" applyAlignment="1" applyProtection="1">
      <alignment horizontal="center"/>
    </xf>
    <xf numFmtId="164" fontId="4" fillId="0" borderId="22" xfId="0" quotePrefix="1" applyNumberFormat="1" applyFont="1" applyFill="1" applyBorder="1" applyAlignment="1" applyProtection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/>
    </xf>
    <xf numFmtId="166" fontId="25" fillId="0" borderId="39" xfId="0" applyNumberFormat="1" applyFont="1" applyBorder="1" applyProtection="1"/>
    <xf numFmtId="166" fontId="25" fillId="0" borderId="0" xfId="0" applyNumberFormat="1" applyFont="1" applyProtection="1"/>
    <xf numFmtId="166" fontId="25" fillId="0" borderId="40" xfId="0" applyNumberFormat="1" applyFont="1" applyBorder="1" applyProtection="1"/>
    <xf numFmtId="166" fontId="25" fillId="0" borderId="34" xfId="0" applyNumberFormat="1" applyFont="1" applyBorder="1" applyProtection="1"/>
    <xf numFmtId="166" fontId="25" fillId="0" borderId="37" xfId="0" applyNumberFormat="1" applyFont="1" applyBorder="1" applyProtection="1"/>
    <xf numFmtId="166" fontId="25" fillId="0" borderId="38" xfId="0" applyNumberFormat="1" applyFont="1" applyBorder="1" applyProtection="1"/>
    <xf numFmtId="0" fontId="3" fillId="0" borderId="0" xfId="0" quotePrefix="1" applyFont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quotePrefix="1" applyBorder="1" applyAlignment="1" applyProtection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2" xfId="3" xr:uid="{00000000-0005-0000-0000-000003000000}"/>
    <cellStyle name="Percent" xfId="4" builtinId="5"/>
  </cellStyles>
  <dxfs count="171"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numFmt numFmtId="166" formatCode="_(* #,##0_);_(* \(#,##0\);_(* &quot;-&quot;??_);_(@_)"/>
    </dxf>
    <dxf>
      <numFmt numFmtId="35" formatCode="_(* #,##0.00_);_(* \(#,##0.00\);_(* &quot;-&quot;??_);_(@_)"/>
    </dxf>
    <dxf>
      <numFmt numFmtId="2" formatCode="0.00"/>
    </dxf>
    <dxf>
      <numFmt numFmtId="2" formatCode="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</dxf>
    <dxf>
      <numFmt numFmtId="164" formatCode="&quot;$&quot;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175747" refreshedDate="45436.338040046299" createdVersion="6" refreshedVersion="8" recordCount="192" xr:uid="{00000000-000A-0000-FFFF-FFFFDE000000}">
  <cacheSource type="worksheet">
    <worksheetSource ref="B19:R211" sheet="Transactions"/>
  </cacheSource>
  <cacheFields count="17">
    <cacheField name="Serivce Month" numFmtId="17">
      <sharedItems containsSemiMixedTypes="0" containsNonDate="0" containsDate="1" containsString="0" minDate="2010-01-01T00:00:00" maxDate="2023-12-02T00:00:00" count="168">
        <d v="2023-01-01T00:00:00"/>
        <d v="2023-02-01T00:00:00"/>
        <d v="2023-03-01T00:00:00"/>
        <d v="2023-04-01T00:00:00"/>
        <d v="2023-05-01T00:00:00"/>
        <d v="2023-06-01T00:00:00"/>
        <d v="2023-07-01T00:00:00"/>
        <d v="2023-08-01T00:00:00"/>
        <d v="2023-09-01T00:00:00"/>
        <d v="2023-10-01T00:00:00"/>
        <d v="2023-11-01T00:00:00"/>
        <d v="2023-12-01T00:00:00"/>
        <d v="2022-01-01T00:00:00" u="1"/>
        <d v="2022-02-01T00:00:00" u="1"/>
        <d v="2022-03-01T00:00:00" u="1"/>
        <d v="2022-04-01T00:00:00" u="1"/>
        <d v="2022-05-01T00:00:00" u="1"/>
        <d v="2022-06-01T00:00:00" u="1"/>
        <d v="2022-07-01T00:00:00" u="1"/>
        <d v="2022-08-01T00:00:00" u="1"/>
        <d v="2022-09-01T00:00:00" u="1"/>
        <d v="2022-10-01T00:00:00" u="1"/>
        <d v="2022-11-01T00:00:00" u="1"/>
        <d v="2022-12-01T00:00:00" u="1"/>
        <d v="2013-05-01T00:00:00" u="1"/>
        <d v="2014-05-01T00:00:00" u="1"/>
        <d v="2015-05-01T00:00:00" u="1"/>
        <d v="2016-05-01T00:00:00" u="1"/>
        <d v="2017-05-01T00:00:00" u="1"/>
        <d v="2018-05-01T00:00:00" u="1"/>
        <d v="2019-05-01T00:00:00" u="1"/>
        <d v="2020-05-01T00:00:00" u="1"/>
        <d v="2010-11-01T00:00:00" u="1"/>
        <d v="2021-05-01T00:00:00" u="1"/>
        <d v="2011-11-01T00:00:00" u="1"/>
        <d v="2012-11-01T00:00:00" u="1"/>
        <d v="2013-11-01T00:00:00" u="1"/>
        <d v="2014-11-01T00:00:00" u="1"/>
        <d v="2015-11-01T00:00:00" u="1"/>
        <d v="2016-11-01T00:00:00" u="1"/>
        <d v="2017-11-01T00:00:00" u="1"/>
        <d v="2018-11-01T00:00:00" u="1"/>
        <d v="2019-11-01T00:00:00" u="1"/>
        <d v="2020-11-01T00:00:00" u="1"/>
        <d v="2021-11-01T00:00:00" u="1"/>
        <d v="2010-06-01T00:00:00" u="1"/>
        <d v="2011-06-01T00:00:00" u="1"/>
        <d v="2012-06-01T00:00:00" u="1"/>
        <d v="2013-06-01T00:00:00" u="1"/>
        <d v="2014-06-01T00:00:00" u="1"/>
        <d v="2015-06-01T00:00:00" u="1"/>
        <d v="2016-06-01T00:00:00" u="1"/>
        <d v="2017-06-01T00:00:00" u="1"/>
        <d v="2018-06-01T00:00:00" u="1"/>
        <d v="2019-06-01T00:00:00" u="1"/>
        <d v="2020-06-01T00:00:00" u="1"/>
        <d v="2010-12-01T00:00:00" u="1"/>
        <d v="2021-06-01T00:00:00" u="1"/>
        <d v="2011-12-01T00:00:00" u="1"/>
        <d v="2012-12-01T00:00:00" u="1"/>
        <d v="2013-12-01T00:00:00" u="1"/>
        <d v="2014-12-01T00:00:00" u="1"/>
        <d v="2015-12-01T00:00:00" u="1"/>
        <d v="2016-12-01T00:00:00" u="1"/>
        <d v="2017-12-01T00:00:00" u="1"/>
        <d v="2018-12-01T00:00:00" u="1"/>
        <d v="2019-12-01T00:00:00" u="1"/>
        <d v="2020-12-01T00:00:00" u="1"/>
        <d v="2021-12-01T00:00:00" u="1"/>
        <d v="2010-01-01T00:00:00" u="1"/>
        <d v="2011-01-01T00:00:00" u="1"/>
        <d v="2012-01-01T00:00:00" u="1"/>
        <d v="2013-01-01T00:00:00" u="1"/>
        <d v="2014-01-01T00:00:00" u="1"/>
        <d v="2015-01-01T00:00:00" u="1"/>
        <d v="2016-01-01T00:00:00" u="1"/>
        <d v="2017-01-01T00:00:00" u="1"/>
        <d v="2018-01-01T00:00:00" u="1"/>
        <d v="2019-01-01T00:00:00" u="1"/>
        <d v="2020-01-01T00:00:00" u="1"/>
        <d v="2010-07-01T00:00:00" u="1"/>
        <d v="2021-01-01T00:00:00" u="1"/>
        <d v="2011-07-01T00:00:00" u="1"/>
        <d v="2012-07-01T00:00:00" u="1"/>
        <d v="2013-07-01T00:00:00" u="1"/>
        <d v="2014-07-01T00:00:00" u="1"/>
        <d v="2015-07-01T00:00:00" u="1"/>
        <d v="2016-07-01T00:00:00" u="1"/>
        <d v="2017-07-01T00:00:00" u="1"/>
        <d v="2018-07-01T00:00:00" u="1"/>
        <d v="2019-07-01T00:00:00" u="1"/>
        <d v="2020-07-01T00:00:00" u="1"/>
        <d v="2021-07-01T00:00:00" u="1"/>
        <d v="2010-02-01T00:00:00" u="1"/>
        <d v="2011-02-01T00:00:00" u="1"/>
        <d v="2012-02-01T00:00:00" u="1"/>
        <d v="2013-02-01T00:00:00" u="1"/>
        <d v="2014-02-01T00:00:00" u="1"/>
        <d v="2015-02-01T00:00:00" u="1"/>
        <d v="2016-02-01T00:00:00" u="1"/>
        <d v="2017-02-01T00:00:00" u="1"/>
        <d v="2018-02-01T00:00:00" u="1"/>
        <d v="2019-02-01T00:00:00" u="1"/>
        <d v="2020-02-01T00:00:00" u="1"/>
        <d v="2010-08-01T00:00:00" u="1"/>
        <d v="2021-02-01T00:00:00" u="1"/>
        <d v="2011-08-01T00:00:00" u="1"/>
        <d v="2012-08-01T00:00:00" u="1"/>
        <d v="2013-08-01T00:00:00" u="1"/>
        <d v="2014-08-01T00:00:00" u="1"/>
        <d v="2015-08-01T00:00:00" u="1"/>
        <d v="2016-08-01T00:00:00" u="1"/>
        <d v="2017-08-01T00:00:00" u="1"/>
        <d v="2018-08-01T00:00:00" u="1"/>
        <d v="2019-08-01T00:00:00" u="1"/>
        <d v="2020-08-01T00:00:00" u="1"/>
        <d v="2021-08-01T00:00:00" u="1"/>
        <d v="2010-03-01T00:00:00" u="1"/>
        <d v="2011-03-01T00:00:00" u="1"/>
        <d v="2012-03-01T00:00:00" u="1"/>
        <d v="2013-03-01T00:00:00" u="1"/>
        <d v="2014-03-01T00:00:00" u="1"/>
        <d v="2015-03-01T00:00:00" u="1"/>
        <d v="2016-03-01T00:00:00" u="1"/>
        <d v="2017-03-01T00:00:00" u="1"/>
        <d v="2018-03-01T00:00:00" u="1"/>
        <d v="2019-03-01T00:00:00" u="1"/>
        <d v="2020-03-01T00:00:00" u="1"/>
        <d v="2010-09-01T00:00:00" u="1"/>
        <d v="2021-03-01T00:00:00" u="1"/>
        <d v="2011-09-01T00:00:00" u="1"/>
        <d v="2012-09-01T00:00:00" u="1"/>
        <d v="2013-09-01T00:00:00" u="1"/>
        <d v="2014-09-01T00:00:00" u="1"/>
        <d v="2015-09-01T00:00:00" u="1"/>
        <d v="2016-09-01T00:00:00" u="1"/>
        <d v="2017-09-01T00:00:00" u="1"/>
        <d v="2018-09-01T00:00:00" u="1"/>
        <d v="2019-09-01T00:00:00" u="1"/>
        <d v="2020-09-01T00:00:00" u="1"/>
        <d v="2021-09-01T00:00:00" u="1"/>
        <d v="2010-04-01T00:00:00" u="1"/>
        <d v="2011-04-01T00:00:00" u="1"/>
        <d v="2012-04-01T00:00:00" u="1"/>
        <d v="2013-04-01T00:00:00" u="1"/>
        <d v="2014-04-01T00:00:00" u="1"/>
        <d v="2015-04-01T00:00:00" u="1"/>
        <d v="2016-04-01T00:00:00" u="1"/>
        <d v="2017-04-01T00:00:00" u="1"/>
        <d v="2018-04-01T00:00:00" u="1"/>
        <d v="2019-04-01T00:00:00" u="1"/>
        <d v="2020-04-01T00:00:00" u="1"/>
        <d v="2010-10-01T00:00:00" u="1"/>
        <d v="2021-04-01T00:00:00" u="1"/>
        <d v="2011-10-01T00:00:00" u="1"/>
        <d v="2012-10-01T00:00:00" u="1"/>
        <d v="2013-10-01T00:00:00" u="1"/>
        <d v="2014-10-01T00:00:00" u="1"/>
        <d v="2015-10-01T00:00:00" u="1"/>
        <d v="2016-10-01T00:00:00" u="1"/>
        <d v="2017-10-01T00:00:00" u="1"/>
        <d v="2018-10-01T00:00:00" u="1"/>
        <d v="2019-10-01T00:00:00" u="1"/>
        <d v="2020-10-01T00:00:00" u="1"/>
        <d v="2021-10-01T00:00:00" u="1"/>
        <d v="2010-05-01T00:00:00" u="1"/>
        <d v="2011-05-01T00:00:00" u="1"/>
        <d v="2012-05-01T00:00:00" u="1"/>
      </sharedItems>
    </cacheField>
    <cacheField name="Billing_x000a_Date*" numFmtId="14">
      <sharedItems containsSemiMixedTypes="0" containsNonDate="0" containsDate="1" containsString="0" minDate="2023-02-03T00:00:00" maxDate="2024-01-04T00:00:00"/>
    </cacheField>
    <cacheField name="Payment Received*" numFmtId="14">
      <sharedItems containsSemiMixedTypes="0" containsNonDate="0" containsDate="1" containsString="0" minDate="2023-02-24T00:00:00" maxDate="2024-01-25T00:00:00"/>
    </cacheField>
    <cacheField name="Customer" numFmtId="0">
      <sharedItems count="22">
        <s v="PSO"/>
        <s v="SWEPCO"/>
        <s v="SWEPCO-Valley"/>
        <s v="AECC"/>
        <s v="AECI"/>
        <s v="WFEC"/>
        <s v="OMPA"/>
        <s v="OG&amp;E"/>
        <s v="ETEC"/>
        <s v="Greenbelt"/>
        <s v="Lighthouse"/>
        <s v="Bentonville, AR"/>
        <s v="Prescott, AR"/>
        <s v="Minden, LA"/>
        <s v="Hope, AR"/>
        <s v="Coffeyville, KS"/>
        <s v="Bentonville" u="1"/>
        <s v="Hope" u="1"/>
        <s v="NTEC" u="1"/>
        <s v="TEXLA" u="1"/>
        <s v="Prescott" u="1"/>
        <s v="Minden" u="1"/>
      </sharedItems>
    </cacheField>
    <cacheField name="Sched." numFmtId="0">
      <sharedItems containsSemiMixedTypes="0" containsString="0" containsNumber="1" containsInteger="1" minValue="9" maxValue="9"/>
    </cacheField>
    <cacheField name="MW" numFmtId="1">
      <sharedItems containsSemiMixedTypes="0" containsString="0" containsNumber="1" containsInteger="1" minValue="1" maxValue="4265"/>
    </cacheField>
    <cacheField name="Projected Rate (as Invoiced)" numFmtId="164">
      <sharedItems containsSemiMixedTypes="0" containsString="0" containsNumber="1" minValue="17.534722508656106" maxValue="17.534722508656106"/>
    </cacheField>
    <cacheField name="Actual True-Up Rate" numFmtId="164">
      <sharedItems containsSemiMixedTypes="0" containsString="0" containsNumber="1" minValue="12.581896396484561" maxValue="12.581896396484561"/>
    </cacheField>
    <cacheField name="True-Up Charge" numFmtId="164">
      <sharedItems containsSemiMixedTypes="0" containsString="0" containsNumber="1" minValue="12.581896396484561" maxValue="53661.788131006651"/>
    </cacheField>
    <cacheField name="Invoiced*** Charge (proj.)" numFmtId="164">
      <sharedItems containsSemiMixedTypes="0" containsString="0" containsNumber="1" minValue="17.534722508656106" maxValue="74785.591499418297"/>
    </cacheField>
    <cacheField name="True-Up w/o Interest" numFmtId="164">
      <sharedItems containsSemiMixedTypes="0" containsString="0" containsNumber="1" minValue="-21123.803368411645" maxValue="-4.9528261121715449"/>
    </cacheField>
    <cacheField name="Interest" numFmtId="164">
      <sharedItems containsSemiMixedTypes="0" containsString="0" containsNumber="1" minValue="-1733.2085674053703" maxValue="-0.40637949997781248"/>
    </cacheField>
    <cacheField name="2020 True Up Including Interest" numFmtId="164">
      <sharedItems containsSemiMixedTypes="0" containsString="0" containsNumber="1" minValue="-22857.011935817016" maxValue="-5.3592056121493572"/>
    </cacheField>
    <cacheField name="Tax Rebilling Rate" numFmtId="164">
      <sharedItems containsSemiMixedTypes="0" containsString="0" containsNumber="1" containsInteger="1" minValue="0" maxValue="0"/>
    </cacheField>
    <cacheField name="Tax True Up Billing" numFmtId="164">
      <sharedItems containsSemiMixedTypes="0" containsString="0" containsNumber="1" containsInteger="1" minValue="0" maxValue="0"/>
    </cacheField>
    <cacheField name="Tax True Up" numFmtId="164">
      <sharedItems containsSemiMixedTypes="0" containsString="0" containsNumber="1" containsInteger="1" minValue="0" maxValue="0"/>
    </cacheField>
    <cacheField name="Total True-up" numFmtId="164">
      <sharedItems containsSemiMixedTypes="0" containsString="0" containsNumber="1" minValue="-22857.011935817016" maxValue="-5.359205612149357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2">
  <r>
    <x v="0"/>
    <d v="2023-02-03T00:00:00"/>
    <d v="2023-02-24T00:00:00"/>
    <x v="0"/>
    <n v="9"/>
    <n v="2810"/>
    <n v="17.534722508656106"/>
    <n v="12.581896396484561"/>
    <n v="35355.128874121619"/>
    <n v="49272.57024932366"/>
    <n v="-13917.441375202041"/>
    <n v="-1141.9263949376532"/>
    <n v="-15059.367770139694"/>
    <n v="0"/>
    <n v="0"/>
    <n v="0"/>
    <n v="-15059.367770139694"/>
  </r>
  <r>
    <x v="1"/>
    <d v="2023-03-03T00:00:00"/>
    <d v="2023-03-24T00:00:00"/>
    <x v="0"/>
    <n v="9"/>
    <n v="2771"/>
    <n v="17.534722508656106"/>
    <n v="12.581896396484561"/>
    <n v="34864.434914658719"/>
    <n v="48588.716071486073"/>
    <n v="-13724.281156827354"/>
    <n v="-1126.0775944385184"/>
    <n v="-14850.358751265872"/>
    <n v="0"/>
    <n v="0"/>
    <n v="0"/>
    <n v="-14850.358751265872"/>
  </r>
  <r>
    <x v="2"/>
    <d v="2023-04-05T00:00:00"/>
    <d v="2023-04-24T00:00:00"/>
    <x v="0"/>
    <n v="9"/>
    <n v="2389"/>
    <n v="17.534722508656106"/>
    <n v="12.581896396484561"/>
    <n v="30058.150491201617"/>
    <n v="41890.45207317944"/>
    <n v="-11832.301581977823"/>
    <n v="-970.84062544699418"/>
    <n v="-12803.142207424817"/>
    <n v="0"/>
    <n v="0"/>
    <n v="0"/>
    <n v="-12803.142207424817"/>
  </r>
  <r>
    <x v="3"/>
    <d v="2023-05-03T00:00:00"/>
    <d v="2023-05-24T00:00:00"/>
    <x v="0"/>
    <n v="9"/>
    <n v="2392"/>
    <n v="17.534722508656106"/>
    <n v="12.581896396484561"/>
    <n v="30095.896180391072"/>
    <n v="41943.056240705402"/>
    <n v="-11847.160060314331"/>
    <n v="-972.05976394692755"/>
    <n v="-12819.219824261258"/>
    <n v="0"/>
    <n v="0"/>
    <n v="0"/>
    <n v="-12819.219824261258"/>
  </r>
  <r>
    <x v="4"/>
    <d v="2023-06-05T00:00:00"/>
    <d v="2023-06-26T00:00:00"/>
    <x v="0"/>
    <n v="9"/>
    <n v="3231"/>
    <n v="17.534722508656106"/>
    <n v="12.581896396484561"/>
    <n v="40652.107257041615"/>
    <n v="56654.688425467881"/>
    <n v="-16002.581168426266"/>
    <n v="-1313.0121644283122"/>
    <n v="-17315.59333285458"/>
    <n v="0"/>
    <n v="0"/>
    <n v="0"/>
    <n v="-17315.59333285458"/>
  </r>
  <r>
    <x v="5"/>
    <d v="2023-07-05T00:00:00"/>
    <d v="2023-07-24T00:00:00"/>
    <x v="0"/>
    <n v="9"/>
    <n v="4100"/>
    <n v="17.534722508656106"/>
    <n v="12.581896396484561"/>
    <n v="51585.775225586702"/>
    <n v="71892.362285490031"/>
    <n v="-20306.58705990333"/>
    <n v="-1666.1559499090313"/>
    <n v="-21972.743009812362"/>
    <n v="0"/>
    <n v="0"/>
    <n v="0"/>
    <n v="-21972.743009812362"/>
  </r>
  <r>
    <x v="6"/>
    <d v="2023-08-03T00:00:00"/>
    <d v="2023-08-24T00:00:00"/>
    <x v="0"/>
    <n v="9"/>
    <n v="3988"/>
    <n v="17.534722508656106"/>
    <n v="12.581896396484561"/>
    <n v="50176.602829180432"/>
    <n v="69928.473364520556"/>
    <n v="-19751.870535340124"/>
    <n v="-1620.6414459115163"/>
    <n v="-21372.511981251639"/>
    <n v="0"/>
    <n v="0"/>
    <n v="0"/>
    <n v="-21372.511981251639"/>
  </r>
  <r>
    <x v="7"/>
    <d v="2023-09-05T00:00:00"/>
    <d v="2023-09-25T00:00:00"/>
    <x v="0"/>
    <n v="9"/>
    <n v="4265"/>
    <n v="17.534722508656106"/>
    <n v="12.581896396484561"/>
    <n v="53661.788131006651"/>
    <n v="74785.591499418297"/>
    <n v="-21123.803368411645"/>
    <n v="-1733.2085674053703"/>
    <n v="-22857.011935817016"/>
    <n v="0"/>
    <n v="0"/>
    <n v="0"/>
    <n v="-22857.011935817016"/>
  </r>
  <r>
    <x v="8"/>
    <d v="2023-10-04T00:00:00"/>
    <d v="2023-10-24T00:00:00"/>
    <x v="0"/>
    <n v="9"/>
    <n v="4016"/>
    <n v="17.534722508656106"/>
    <n v="12.581896396484561"/>
    <n v="50528.895928282"/>
    <n v="70419.445594762918"/>
    <n v="-19890.549666480918"/>
    <n v="-1632.0200719108952"/>
    <n v="-21522.569738391812"/>
    <n v="0"/>
    <n v="0"/>
    <n v="0"/>
    <n v="-21522.569738391812"/>
  </r>
  <r>
    <x v="9"/>
    <d v="2023-11-03T00:00:00"/>
    <d v="2023-11-24T00:00:00"/>
    <x v="0"/>
    <n v="9"/>
    <n v="3105"/>
    <n v="17.534722508656106"/>
    <n v="12.581896396484561"/>
    <n v="39066.788311084565"/>
    <n v="54445.31338937721"/>
    <n v="-15378.525078292645"/>
    <n v="-1261.8083474311079"/>
    <n v="-16640.333425723751"/>
    <n v="0"/>
    <n v="0"/>
    <n v="0"/>
    <n v="-16640.333425723751"/>
  </r>
  <r>
    <x v="10"/>
    <d v="2023-12-06T00:00:00"/>
    <d v="2023-12-25T00:00:00"/>
    <x v="0"/>
    <n v="9"/>
    <n v="2513"/>
    <n v="17.534722508656106"/>
    <n v="12.581896396484561"/>
    <n v="31618.305644365701"/>
    <n v="44064.757664252793"/>
    <n v="-12446.452019887092"/>
    <n v="-1021.2316834442429"/>
    <n v="-13467.683703331335"/>
    <n v="0"/>
    <n v="0"/>
    <n v="0"/>
    <n v="-13467.683703331335"/>
  </r>
  <r>
    <x v="11"/>
    <d v="2024-01-03T00:00:00"/>
    <d v="2024-01-24T00:00:00"/>
    <x v="0"/>
    <n v="9"/>
    <n v="2474"/>
    <n v="17.534722508656106"/>
    <n v="12.581896396484561"/>
    <n v="31127.611684902804"/>
    <n v="43380.903486415205"/>
    <n v="-12253.291801512401"/>
    <n v="-1005.3828829451081"/>
    <n v="-13258.67468445751"/>
    <n v="0"/>
    <n v="0"/>
    <n v="0"/>
    <n v="-13258.67468445751"/>
  </r>
  <r>
    <x v="0"/>
    <d v="2023-02-03T00:00:00"/>
    <d v="2023-02-24T00:00:00"/>
    <x v="1"/>
    <n v="9"/>
    <n v="2724"/>
    <n v="17.534722508656106"/>
    <n v="12.581896396484561"/>
    <n v="34273.085784023948"/>
    <n v="47764.584113579236"/>
    <n v="-13491.498329555288"/>
    <n v="-1106.9777579395613"/>
    <n v="-14598.47608749485"/>
    <n v="0"/>
    <n v="0"/>
    <n v="0"/>
    <n v="-14598.47608749485"/>
  </r>
  <r>
    <x v="1"/>
    <d v="2023-03-03T00:00:00"/>
    <d v="2023-03-24T00:00:00"/>
    <x v="1"/>
    <n v="9"/>
    <n v="2757"/>
    <n v="17.534722508656106"/>
    <n v="12.581896396484561"/>
    <n v="34688.288365107932"/>
    <n v="48343.229956364885"/>
    <n v="-13654.941591256953"/>
    <n v="-1120.3882814388292"/>
    <n v="-14775.329872695782"/>
    <n v="0"/>
    <n v="0"/>
    <n v="0"/>
    <n v="-14775.329872695782"/>
  </r>
  <r>
    <x v="2"/>
    <d v="2023-04-05T00:00:00"/>
    <d v="2023-04-24T00:00:00"/>
    <x v="1"/>
    <n v="9"/>
    <n v="2641"/>
    <n v="17.534722508656106"/>
    <n v="12.581896396484561"/>
    <n v="33228.788383115723"/>
    <n v="46309.202145360774"/>
    <n v="-13080.413762245051"/>
    <n v="-1073.2482594414028"/>
    <n v="-14153.662021686454"/>
    <n v="0"/>
    <n v="0"/>
    <n v="0"/>
    <n v="-14153.662021686454"/>
  </r>
  <r>
    <x v="3"/>
    <d v="2023-05-03T00:00:00"/>
    <d v="2023-05-24T00:00:00"/>
    <x v="1"/>
    <n v="9"/>
    <n v="2417"/>
    <n v="17.534722508656106"/>
    <n v="12.581896396484561"/>
    <n v="30410.443590303184"/>
    <n v="42381.424303421809"/>
    <n v="-11970.980713118624"/>
    <n v="-982.21925144637282"/>
    <n v="-12953.199964564998"/>
    <n v="0"/>
    <n v="0"/>
    <n v="0"/>
    <n v="-12953.199964564998"/>
  </r>
  <r>
    <x v="4"/>
    <d v="2023-06-05T00:00:00"/>
    <d v="2023-06-26T00:00:00"/>
    <x v="1"/>
    <n v="9"/>
    <n v="2844"/>
    <n v="17.534722508656106"/>
    <n v="12.581896396484561"/>
    <n v="35782.913351602088"/>
    <n v="49868.750814617968"/>
    <n v="-14085.83746301588"/>
    <n v="-1155.7432979368987"/>
    <n v="-15241.580760952778"/>
    <n v="0"/>
    <n v="0"/>
    <n v="0"/>
    <n v="-15241.580760952778"/>
  </r>
  <r>
    <x v="5"/>
    <d v="2023-07-05T00:00:00"/>
    <d v="2023-07-24T00:00:00"/>
    <x v="1"/>
    <n v="9"/>
    <n v="3500"/>
    <n v="17.534722508656106"/>
    <n v="12.581896396484561"/>
    <n v="44036.637387695962"/>
    <n v="61371.528780296372"/>
    <n v="-17334.89139260041"/>
    <n v="-1422.3282499223437"/>
    <n v="-18757.219642522752"/>
    <n v="0"/>
    <n v="0"/>
    <n v="0"/>
    <n v="-18757.219642522752"/>
  </r>
  <r>
    <x v="6"/>
    <d v="2023-08-03T00:00:00"/>
    <d v="2023-08-24T00:00:00"/>
    <x v="1"/>
    <n v="9"/>
    <n v="3569"/>
    <n v="17.534722508656106"/>
    <n v="12.581896396484561"/>
    <n v="44904.7882390534"/>
    <n v="62581.424633393639"/>
    <n v="-17676.636394340239"/>
    <n v="-1450.3684354208131"/>
    <n v="-19127.004829761052"/>
    <n v="0"/>
    <n v="0"/>
    <n v="0"/>
    <n v="-19127.004829761052"/>
  </r>
  <r>
    <x v="7"/>
    <d v="2023-09-05T00:00:00"/>
    <d v="2023-09-25T00:00:00"/>
    <x v="1"/>
    <n v="9"/>
    <n v="3766"/>
    <n v="17.534722508656106"/>
    <n v="12.581896396484561"/>
    <n v="47383.421829160856"/>
    <n v="66035.764967598894"/>
    <n v="-18652.343138438038"/>
    <n v="-1530.4251969164418"/>
    <n v="-20182.768335354482"/>
    <n v="0"/>
    <n v="0"/>
    <n v="0"/>
    <n v="-20182.768335354482"/>
  </r>
  <r>
    <x v="8"/>
    <d v="2023-10-04T00:00:00"/>
    <d v="2023-10-24T00:00:00"/>
    <x v="1"/>
    <n v="9"/>
    <n v="3456"/>
    <n v="17.534722508656106"/>
    <n v="12.581896396484561"/>
    <n v="43483.033946250645"/>
    <n v="60600.000989915505"/>
    <n v="-17116.967043664859"/>
    <n v="-1404.4475519233201"/>
    <n v="-18521.41459558818"/>
    <n v="0"/>
    <n v="0"/>
    <n v="0"/>
    <n v="-18521.41459558818"/>
  </r>
  <r>
    <x v="9"/>
    <d v="2023-11-03T00:00:00"/>
    <d v="2023-11-24T00:00:00"/>
    <x v="1"/>
    <n v="9"/>
    <n v="2810"/>
    <n v="17.534722508656106"/>
    <n v="12.581896396484561"/>
    <n v="35355.128874121619"/>
    <n v="49272.57024932366"/>
    <n v="-13917.441375202041"/>
    <n v="-1141.9263949376532"/>
    <n v="-15059.367770139694"/>
    <n v="0"/>
    <n v="0"/>
    <n v="0"/>
    <n v="-15059.367770139694"/>
  </r>
  <r>
    <x v="10"/>
    <d v="2023-12-06T00:00:00"/>
    <d v="2023-12-25T00:00:00"/>
    <x v="1"/>
    <n v="9"/>
    <n v="2499"/>
    <n v="17.534722508656106"/>
    <n v="12.581896396484561"/>
    <n v="31442.159094814917"/>
    <n v="43819.271549131612"/>
    <n v="-12377.112454316695"/>
    <n v="-1015.5423704445535"/>
    <n v="-13392.654824761248"/>
    <n v="0"/>
    <n v="0"/>
    <n v="0"/>
    <n v="-13392.654824761248"/>
  </r>
  <r>
    <x v="11"/>
    <d v="2024-01-03T00:00:00"/>
    <d v="2024-01-24T00:00:00"/>
    <x v="1"/>
    <n v="9"/>
    <n v="2532"/>
    <n v="17.534722508656106"/>
    <n v="12.581896396484561"/>
    <n v="31857.361675898908"/>
    <n v="44397.917391917261"/>
    <n v="-12540.555716018353"/>
    <n v="-1028.9528939438212"/>
    <n v="-13569.508609962173"/>
    <n v="0"/>
    <n v="0"/>
    <n v="0"/>
    <n v="-13569.508609962173"/>
  </r>
  <r>
    <x v="0"/>
    <d v="2023-02-03T00:00:00"/>
    <d v="2023-02-24T00:00:00"/>
    <x v="2"/>
    <n v="9"/>
    <n v="137"/>
    <n v="17.534722508656106"/>
    <n v="12.581896396484561"/>
    <n v="1723.7198063183848"/>
    <n v="2402.2569836858866"/>
    <n v="-678.53717736750173"/>
    <n v="-55.673991496960312"/>
    <n v="-734.21116886446202"/>
    <n v="0"/>
    <n v="0"/>
    <n v="0"/>
    <n v="-734.21116886446202"/>
  </r>
  <r>
    <x v="1"/>
    <d v="2023-03-03T00:00:00"/>
    <d v="2023-03-24T00:00:00"/>
    <x v="2"/>
    <n v="9"/>
    <n v="132"/>
    <n v="17.534722508656106"/>
    <n v="12.581896396484561"/>
    <n v="1660.8103243359622"/>
    <n v="2314.5833711426062"/>
    <n v="-653.77304680664406"/>
    <n v="-53.642093997071257"/>
    <n v="-707.4151408037153"/>
    <n v="0"/>
    <n v="0"/>
    <n v="0"/>
    <n v="-707.4151408037153"/>
  </r>
  <r>
    <x v="2"/>
    <d v="2023-04-05T00:00:00"/>
    <d v="2023-04-24T00:00:00"/>
    <x v="2"/>
    <n v="9"/>
    <n v="148"/>
    <n v="17.534722508656106"/>
    <n v="12.581896396484561"/>
    <n v="1862.120666679715"/>
    <n v="2595.1389312811039"/>
    <n v="-733.01826460138886"/>
    <n v="-60.144165996716247"/>
    <n v="-793.16243059810506"/>
    <n v="0"/>
    <n v="0"/>
    <n v="0"/>
    <n v="-793.16243059810506"/>
  </r>
  <r>
    <x v="3"/>
    <d v="2023-05-03T00:00:00"/>
    <d v="2023-05-24T00:00:00"/>
    <x v="2"/>
    <n v="9"/>
    <n v="92"/>
    <n v="17.534722508656106"/>
    <n v="12.581896396484561"/>
    <n v="1157.5344684765796"/>
    <n v="1613.1944707963617"/>
    <n v="-455.66000231978205"/>
    <n v="-37.38691399795875"/>
    <n v="-493.04691631774079"/>
    <n v="0"/>
    <n v="0"/>
    <n v="0"/>
    <n v="-493.04691631774079"/>
  </r>
  <r>
    <x v="4"/>
    <d v="2023-06-05T00:00:00"/>
    <d v="2023-06-26T00:00:00"/>
    <x v="2"/>
    <n v="9"/>
    <n v="104"/>
    <n v="17.534722508656106"/>
    <n v="12.581896396484561"/>
    <n v="1308.5172252343943"/>
    <n v="1823.6111409002351"/>
    <n v="-515.09391566584077"/>
    <n v="-42.263467997692494"/>
    <n v="-557.35738366353326"/>
    <n v="0"/>
    <n v="0"/>
    <n v="0"/>
    <n v="-557.35738366353326"/>
  </r>
  <r>
    <x v="5"/>
    <d v="2023-07-05T00:00:00"/>
    <d v="2023-07-24T00:00:00"/>
    <x v="2"/>
    <n v="9"/>
    <n v="156"/>
    <n v="17.534722508656106"/>
    <n v="12.581896396484561"/>
    <n v="1962.7758378515916"/>
    <n v="2735.4167113503527"/>
    <n v="-772.64087349876104"/>
    <n v="-63.395201996538752"/>
    <n v="-836.03607549529977"/>
    <n v="0"/>
    <n v="0"/>
    <n v="0"/>
    <n v="-836.03607549529977"/>
  </r>
  <r>
    <x v="6"/>
    <d v="2023-08-03T00:00:00"/>
    <d v="2023-08-24T00:00:00"/>
    <x v="2"/>
    <n v="9"/>
    <n v="155"/>
    <n v="17.534722508656106"/>
    <n v="12.581896396484561"/>
    <n v="1950.1939414551071"/>
    <n v="2717.8819888416965"/>
    <n v="-767.68804738658946"/>
    <n v="-62.988822496560935"/>
    <n v="-830.6768698831504"/>
    <n v="0"/>
    <n v="0"/>
    <n v="0"/>
    <n v="-830.6768698831504"/>
  </r>
  <r>
    <x v="7"/>
    <d v="2023-09-05T00:00:00"/>
    <d v="2023-09-25T00:00:00"/>
    <x v="2"/>
    <n v="9"/>
    <n v="159"/>
    <n v="17.534722508656106"/>
    <n v="12.581896396484561"/>
    <n v="2000.5215270410451"/>
    <n v="2788.0208788763207"/>
    <n v="-787.49935183527555"/>
    <n v="-64.614340496472181"/>
    <n v="-852.11369233174776"/>
    <n v="0"/>
    <n v="0"/>
    <n v="0"/>
    <n v="-852.11369233174776"/>
  </r>
  <r>
    <x v="8"/>
    <d v="2023-10-04T00:00:00"/>
    <d v="2023-10-24T00:00:00"/>
    <x v="2"/>
    <n v="9"/>
    <n v="144"/>
    <n v="17.534722508656106"/>
    <n v="12.581896396484561"/>
    <n v="1811.7930810937769"/>
    <n v="2525.0000412464792"/>
    <n v="-713.20696015270232"/>
    <n v="-58.518647996805001"/>
    <n v="-771.72560814950737"/>
    <n v="0"/>
    <n v="0"/>
    <n v="0"/>
    <n v="-771.72560814950737"/>
  </r>
  <r>
    <x v="9"/>
    <d v="2023-11-03T00:00:00"/>
    <d v="2023-11-24T00:00:00"/>
    <x v="2"/>
    <n v="9"/>
    <n v="117"/>
    <n v="17.534722508656106"/>
    <n v="12.581896396484561"/>
    <n v="1472.0818783886937"/>
    <n v="2051.5625335127643"/>
    <n v="-579.48065512407061"/>
    <n v="-47.546401497404069"/>
    <n v="-627.02705662147469"/>
    <n v="0"/>
    <n v="0"/>
    <n v="0"/>
    <n v="-627.02705662147469"/>
  </r>
  <r>
    <x v="10"/>
    <d v="2023-12-06T00:00:00"/>
    <d v="2023-12-25T00:00:00"/>
    <x v="2"/>
    <n v="9"/>
    <n v="134"/>
    <n v="17.534722508656106"/>
    <n v="12.581896396484561"/>
    <n v="1685.9741171289311"/>
    <n v="2349.6528161599181"/>
    <n v="-663.67869903098699"/>
    <n v="-54.454852997026876"/>
    <n v="-718.13355202801381"/>
    <n v="0"/>
    <n v="0"/>
    <n v="0"/>
    <n v="-718.13355202801381"/>
  </r>
  <r>
    <x v="11"/>
    <d v="2024-01-03T00:00:00"/>
    <d v="2024-01-24T00:00:00"/>
    <x v="2"/>
    <n v="9"/>
    <n v="145"/>
    <n v="17.534722508656106"/>
    <n v="12.581896396484561"/>
    <n v="1824.3749774902615"/>
    <n v="2542.5347637551354"/>
    <n v="-718.1597862648739"/>
    <n v="-58.925027496782818"/>
    <n v="-777.08481376165673"/>
    <n v="0"/>
    <n v="0"/>
    <n v="0"/>
    <n v="-777.08481376165673"/>
  </r>
  <r>
    <x v="0"/>
    <d v="2023-02-03T00:00:00"/>
    <d v="2023-02-24T00:00:00"/>
    <x v="3"/>
    <n v="9"/>
    <n v="828"/>
    <n v="17.534722508656106"/>
    <n v="12.581896396484561"/>
    <n v="10417.810216289217"/>
    <n v="14518.750237167256"/>
    <n v="-4100.9400208780389"/>
    <n v="-336.4822259816288"/>
    <n v="-4437.4222468596681"/>
    <n v="0"/>
    <n v="0"/>
    <n v="0"/>
    <n v="-4437.4222468596681"/>
  </r>
  <r>
    <x v="1"/>
    <d v="2023-03-03T00:00:00"/>
    <d v="2023-03-24T00:00:00"/>
    <x v="3"/>
    <n v="9"/>
    <n v="786"/>
    <n v="17.534722508656106"/>
    <n v="12.581896396484561"/>
    <n v="9889.3705676368645"/>
    <n v="13782.291891803699"/>
    <n v="-3892.9213241668349"/>
    <n v="-319.41428698256061"/>
    <n v="-4212.3356111493958"/>
    <n v="0"/>
    <n v="0"/>
    <n v="0"/>
    <n v="-4212.3356111493958"/>
  </r>
  <r>
    <x v="2"/>
    <d v="2023-04-05T00:00:00"/>
    <d v="2023-04-24T00:00:00"/>
    <x v="3"/>
    <n v="9"/>
    <n v="702"/>
    <n v="17.534722508656106"/>
    <n v="12.581896396484561"/>
    <n v="8832.4912703321625"/>
    <n v="12309.375201076586"/>
    <n v="-3476.8839307444232"/>
    <n v="-285.2784089844244"/>
    <n v="-3762.1623397288477"/>
    <n v="0"/>
    <n v="0"/>
    <n v="0"/>
    <n v="-3762.1623397288477"/>
  </r>
  <r>
    <x v="3"/>
    <d v="2023-05-03T00:00:00"/>
    <d v="2023-05-24T00:00:00"/>
    <x v="3"/>
    <n v="9"/>
    <n v="519"/>
    <n v="17.534722508656106"/>
    <n v="12.581896396484561"/>
    <n v="6530.0042297754871"/>
    <n v="9100.5209819925185"/>
    <n v="-2570.5167522170314"/>
    <n v="-210.91096048848468"/>
    <n v="-2781.4277127055161"/>
    <n v="0"/>
    <n v="0"/>
    <n v="0"/>
    <n v="-2781.4277127055161"/>
  </r>
  <r>
    <x v="4"/>
    <d v="2023-06-05T00:00:00"/>
    <d v="2023-06-26T00:00:00"/>
    <x v="3"/>
    <n v="9"/>
    <n v="720"/>
    <n v="17.534722508656106"/>
    <n v="12.581896396484561"/>
    <n v="9058.9654054688835"/>
    <n v="12625.000206232397"/>
    <n v="-3566.034800763513"/>
    <n v="-292.59323998402505"/>
    <n v="-3858.6280407475379"/>
    <n v="0"/>
    <n v="0"/>
    <n v="0"/>
    <n v="-3858.6280407475379"/>
  </r>
  <r>
    <x v="5"/>
    <d v="2023-07-05T00:00:00"/>
    <d v="2023-07-24T00:00:00"/>
    <x v="3"/>
    <n v="9"/>
    <n v="975"/>
    <n v="17.534722508656106"/>
    <n v="12.581896396484561"/>
    <n v="12267.348986572448"/>
    <n v="17096.354445939702"/>
    <n v="-4829.0054593672539"/>
    <n v="-396.22001247836721"/>
    <n v="-5225.2254718456215"/>
    <n v="0"/>
    <n v="0"/>
    <n v="0"/>
    <n v="-5225.2254718456215"/>
  </r>
  <r>
    <x v="6"/>
    <d v="2023-08-03T00:00:00"/>
    <d v="2023-08-24T00:00:00"/>
    <x v="3"/>
    <n v="9"/>
    <n v="924"/>
    <n v="17.534722508656106"/>
    <n v="12.581896396484561"/>
    <n v="11625.672270351735"/>
    <n v="16202.083597998242"/>
    <n v="-4576.4113276465068"/>
    <n v="-375.49465797949875"/>
    <n v="-4951.9059856260055"/>
    <n v="0"/>
    <n v="0"/>
    <n v="0"/>
    <n v="-4951.9059856260055"/>
  </r>
  <r>
    <x v="7"/>
    <d v="2023-09-05T00:00:00"/>
    <d v="2023-09-25T00:00:00"/>
    <x v="3"/>
    <n v="9"/>
    <n v="1053"/>
    <n v="17.534722508656106"/>
    <n v="12.581896396484561"/>
    <n v="13248.736905498243"/>
    <n v="18464.06280161488"/>
    <n v="-5215.3258961166375"/>
    <n v="-427.91761347663663"/>
    <n v="-5643.2435095932742"/>
    <n v="0"/>
    <n v="0"/>
    <n v="0"/>
    <n v="-5643.2435095932742"/>
  </r>
  <r>
    <x v="8"/>
    <d v="2023-10-04T00:00:00"/>
    <d v="2023-10-24T00:00:00"/>
    <x v="3"/>
    <n v="9"/>
    <n v="905"/>
    <n v="17.534722508656106"/>
    <n v="12.581896396484561"/>
    <n v="11386.616238818528"/>
    <n v="15868.923870333776"/>
    <n v="-4482.3076315152484"/>
    <n v="-367.77344747992032"/>
    <n v="-4850.0810789951684"/>
    <n v="0"/>
    <n v="0"/>
    <n v="0"/>
    <n v="-4850.0810789951684"/>
  </r>
  <r>
    <x v="9"/>
    <d v="2023-11-03T00:00:00"/>
    <d v="2023-11-24T00:00:00"/>
    <x v="3"/>
    <n v="9"/>
    <n v="694"/>
    <n v="17.534722508656106"/>
    <n v="12.581896396484561"/>
    <n v="8731.8360991602858"/>
    <n v="12169.097421007338"/>
    <n v="-3437.2613218470524"/>
    <n v="-282.02737298460187"/>
    <n v="-3719.2886948316541"/>
    <n v="0"/>
    <n v="0"/>
    <n v="0"/>
    <n v="-3719.2886948316541"/>
  </r>
  <r>
    <x v="10"/>
    <d v="2023-12-06T00:00:00"/>
    <d v="2023-12-25T00:00:00"/>
    <x v="3"/>
    <n v="9"/>
    <n v="736"/>
    <n v="17.534722508656106"/>
    <n v="12.581896396484561"/>
    <n v="9260.2757478126368"/>
    <n v="12905.555766370893"/>
    <n v="-3645.2800185582564"/>
    <n v="-299.09531198367"/>
    <n v="-3944.3753305419264"/>
    <n v="0"/>
    <n v="0"/>
    <n v="0"/>
    <n v="-3944.3753305419264"/>
  </r>
  <r>
    <x v="11"/>
    <d v="2024-01-03T00:00:00"/>
    <d v="2024-01-24T00:00:00"/>
    <x v="3"/>
    <n v="9"/>
    <n v="713"/>
    <n v="17.534722508656106"/>
    <n v="12.581896396484561"/>
    <n v="8970.8921306934917"/>
    <n v="12502.257148671804"/>
    <n v="-3531.3650179783126"/>
    <n v="-289.7485834841803"/>
    <n v="-3821.1136014624931"/>
    <n v="0"/>
    <n v="0"/>
    <n v="0"/>
    <n v="-3821.1136014624931"/>
  </r>
  <r>
    <x v="0"/>
    <d v="2023-02-03T00:00:00"/>
    <d v="2023-02-24T00:00:00"/>
    <x v="4"/>
    <n v="9"/>
    <n v="44"/>
    <n v="17.534722508656106"/>
    <n v="12.581896396484561"/>
    <n v="553.60344144532064"/>
    <n v="771.52779038086862"/>
    <n v="-217.92434893554798"/>
    <n v="-17.880697999023752"/>
    <n v="-235.80504693457175"/>
    <n v="0"/>
    <n v="0"/>
    <n v="0"/>
    <n v="-235.80504693457175"/>
  </r>
  <r>
    <x v="1"/>
    <d v="2023-03-03T00:00:00"/>
    <d v="2023-03-24T00:00:00"/>
    <x v="4"/>
    <n v="9"/>
    <n v="42"/>
    <n v="17.534722508656106"/>
    <n v="12.581896396484561"/>
    <n v="528.43964865235159"/>
    <n v="736.45834536355642"/>
    <n v="-208.01869671120483"/>
    <n v="-17.067938999068126"/>
    <n v="-225.08663571027296"/>
    <n v="0"/>
    <n v="0"/>
    <n v="0"/>
    <n v="-225.08663571027296"/>
  </r>
  <r>
    <x v="2"/>
    <d v="2023-04-05T00:00:00"/>
    <d v="2023-04-24T00:00:00"/>
    <x v="4"/>
    <n v="9"/>
    <n v="37"/>
    <n v="17.534722508656106"/>
    <n v="12.581896396484561"/>
    <n v="465.53016666992875"/>
    <n v="648.78473282027596"/>
    <n v="-183.25456615034722"/>
    <n v="-15.036041499179062"/>
    <n v="-198.29060764952627"/>
    <n v="0"/>
    <n v="0"/>
    <n v="0"/>
    <n v="-198.29060764952627"/>
  </r>
  <r>
    <x v="3"/>
    <d v="2023-05-03T00:00:00"/>
    <d v="2023-05-24T00:00:00"/>
    <x v="4"/>
    <n v="9"/>
    <n v="27"/>
    <n v="17.534722508656106"/>
    <n v="12.581896396484561"/>
    <n v="339.71120270508317"/>
    <n v="473.43750773371488"/>
    <n v="-133.72630502863171"/>
    <n v="-10.972246499400939"/>
    <n v="-144.69855152803265"/>
    <n v="0"/>
    <n v="0"/>
    <n v="0"/>
    <n v="-144.69855152803265"/>
  </r>
  <r>
    <x v="4"/>
    <d v="2023-06-05T00:00:00"/>
    <d v="2023-06-26T00:00:00"/>
    <x v="4"/>
    <n v="9"/>
    <n v="42"/>
    <n v="17.534722508656106"/>
    <n v="12.581896396484561"/>
    <n v="528.43964865235159"/>
    <n v="736.45834536355642"/>
    <n v="-208.01869671120483"/>
    <n v="-17.067938999068126"/>
    <n v="-225.08663571027296"/>
    <n v="0"/>
    <n v="0"/>
    <n v="0"/>
    <n v="-225.08663571027296"/>
  </r>
  <r>
    <x v="5"/>
    <d v="2023-07-05T00:00:00"/>
    <d v="2023-07-24T00:00:00"/>
    <x v="4"/>
    <n v="9"/>
    <n v="56"/>
    <n v="17.534722508656106"/>
    <n v="12.581896396484561"/>
    <n v="704.58619820313538"/>
    <n v="981.94446048474197"/>
    <n v="-277.35826228160659"/>
    <n v="-22.7572519987575"/>
    <n v="-300.1155142803641"/>
    <n v="0"/>
    <n v="0"/>
    <n v="0"/>
    <n v="-300.1155142803641"/>
  </r>
  <r>
    <x v="6"/>
    <d v="2023-08-03T00:00:00"/>
    <d v="2023-08-24T00:00:00"/>
    <x v="4"/>
    <n v="9"/>
    <n v="54"/>
    <n v="17.534722508656106"/>
    <n v="12.581896396484561"/>
    <n v="679.42240541016633"/>
    <n v="946.87501546742976"/>
    <n v="-267.45261005726343"/>
    <n v="-21.944492998801877"/>
    <n v="-289.3971030560653"/>
    <n v="0"/>
    <n v="0"/>
    <n v="0"/>
    <n v="-289.3971030560653"/>
  </r>
  <r>
    <x v="7"/>
    <d v="2023-09-05T00:00:00"/>
    <d v="2023-09-25T00:00:00"/>
    <x v="4"/>
    <n v="9"/>
    <n v="59"/>
    <n v="17.534722508656106"/>
    <n v="12.581896396484561"/>
    <n v="742.33188739258912"/>
    <n v="1034.5486280107102"/>
    <n v="-292.21674061812109"/>
    <n v="-23.97639049869094"/>
    <n v="-316.19313111681203"/>
    <n v="0"/>
    <n v="0"/>
    <n v="0"/>
    <n v="-316.19313111681203"/>
  </r>
  <r>
    <x v="8"/>
    <d v="2023-10-04T00:00:00"/>
    <d v="2023-10-24T00:00:00"/>
    <x v="4"/>
    <n v="9"/>
    <n v="54"/>
    <n v="17.534722508656106"/>
    <n v="12.581896396484561"/>
    <n v="679.42240541016633"/>
    <n v="946.87501546742976"/>
    <n v="-267.45261005726343"/>
    <n v="-21.944492998801877"/>
    <n v="-289.3971030560653"/>
    <n v="0"/>
    <n v="0"/>
    <n v="0"/>
    <n v="-289.3971030560653"/>
  </r>
  <r>
    <x v="9"/>
    <d v="2023-11-03T00:00:00"/>
    <d v="2023-11-24T00:00:00"/>
    <x v="4"/>
    <n v="9"/>
    <n v="37"/>
    <n v="17.534722508656106"/>
    <n v="12.581896396484561"/>
    <n v="465.53016666992875"/>
    <n v="648.78473282027596"/>
    <n v="-183.25456615034722"/>
    <n v="-15.036041499179062"/>
    <n v="-198.29060764952627"/>
    <n v="0"/>
    <n v="0"/>
    <n v="0"/>
    <n v="-198.29060764952627"/>
  </r>
  <r>
    <x v="10"/>
    <d v="2023-12-06T00:00:00"/>
    <d v="2023-12-25T00:00:00"/>
    <x v="4"/>
    <n v="9"/>
    <n v="38"/>
    <n v="17.534722508656106"/>
    <n v="12.581896396484561"/>
    <n v="478.11206306641333"/>
    <n v="666.31945532893201"/>
    <n v="-188.20739226251868"/>
    <n v="-15.442420999156877"/>
    <n v="-203.64981326167555"/>
    <n v="0"/>
    <n v="0"/>
    <n v="0"/>
    <n v="-203.64981326167555"/>
  </r>
  <r>
    <x v="11"/>
    <d v="2024-01-03T00:00:00"/>
    <d v="2024-01-24T00:00:00"/>
    <x v="4"/>
    <n v="9"/>
    <n v="35"/>
    <n v="17.534722508656106"/>
    <n v="12.581896396484561"/>
    <n v="440.36637387695964"/>
    <n v="613.71528780296376"/>
    <n v="-173.34891392600412"/>
    <n v="-14.223282499223439"/>
    <n v="-187.57219642522756"/>
    <n v="0"/>
    <n v="0"/>
    <n v="0"/>
    <n v="-187.57219642522756"/>
  </r>
  <r>
    <x v="0"/>
    <d v="2023-02-03T00:00:00"/>
    <d v="2023-02-24T00:00:00"/>
    <x v="5"/>
    <n v="9"/>
    <n v="53"/>
    <n v="17.534722508656106"/>
    <n v="12.581896396484561"/>
    <n v="666.84050901368175"/>
    <n v="929.3402929587736"/>
    <n v="-262.49978394509185"/>
    <n v="-21.538113498824064"/>
    <n v="-284.03789744391594"/>
    <n v="0"/>
    <n v="0"/>
    <n v="0"/>
    <n v="-284.03789744391594"/>
  </r>
  <r>
    <x v="1"/>
    <d v="2023-03-03T00:00:00"/>
    <d v="2023-03-24T00:00:00"/>
    <x v="5"/>
    <n v="9"/>
    <n v="55"/>
    <n v="17.534722508656106"/>
    <n v="12.581896396484561"/>
    <n v="692.00430180665091"/>
    <n v="964.40973797608581"/>
    <n v="-272.40543616943489"/>
    <n v="-22.35087249877969"/>
    <n v="-294.75630866821456"/>
    <n v="0"/>
    <n v="0"/>
    <n v="0"/>
    <n v="-294.75630866821456"/>
  </r>
  <r>
    <x v="2"/>
    <d v="2023-04-05T00:00:00"/>
    <d v="2023-04-24T00:00:00"/>
    <x v="5"/>
    <n v="9"/>
    <n v="46"/>
    <n v="17.534722508656106"/>
    <n v="12.581896396484561"/>
    <n v="578.7672342382898"/>
    <n v="806.59723539818083"/>
    <n v="-227.83000115989103"/>
    <n v="-18.693456998979375"/>
    <n v="-246.5234581588704"/>
    <n v="0"/>
    <n v="0"/>
    <n v="0"/>
    <n v="-246.5234581588704"/>
  </r>
  <r>
    <x v="3"/>
    <d v="2023-05-03T00:00:00"/>
    <d v="2023-05-24T00:00:00"/>
    <x v="5"/>
    <n v="9"/>
    <n v="33"/>
    <n v="17.534722508656106"/>
    <n v="12.581896396484561"/>
    <n v="415.20258108399054"/>
    <n v="578.64584278565155"/>
    <n v="-163.44326170166102"/>
    <n v="-13.410523499267814"/>
    <n v="-176.85378520092883"/>
    <n v="0"/>
    <n v="0"/>
    <n v="0"/>
    <n v="-176.85378520092883"/>
  </r>
  <r>
    <x v="4"/>
    <d v="2023-06-05T00:00:00"/>
    <d v="2023-06-26T00:00:00"/>
    <x v="5"/>
    <n v="9"/>
    <n v="44"/>
    <n v="17.534722508656106"/>
    <n v="12.581896396484561"/>
    <n v="553.60344144532064"/>
    <n v="771.52779038086862"/>
    <n v="-217.92434893554798"/>
    <n v="-17.880697999023752"/>
    <n v="-235.80504693457175"/>
    <n v="0"/>
    <n v="0"/>
    <n v="0"/>
    <n v="-235.80504693457175"/>
  </r>
  <r>
    <x v="5"/>
    <d v="2023-07-05T00:00:00"/>
    <d v="2023-07-24T00:00:00"/>
    <x v="5"/>
    <n v="9"/>
    <n v="55"/>
    <n v="17.534722508656106"/>
    <n v="12.581896396484561"/>
    <n v="692.00430180665091"/>
    <n v="964.40973797608581"/>
    <n v="-272.40543616943489"/>
    <n v="-22.35087249877969"/>
    <n v="-294.75630866821456"/>
    <n v="0"/>
    <n v="0"/>
    <n v="0"/>
    <n v="-294.75630866821456"/>
  </r>
  <r>
    <x v="6"/>
    <d v="2023-08-03T00:00:00"/>
    <d v="2023-08-24T00:00:00"/>
    <x v="5"/>
    <n v="9"/>
    <n v="57"/>
    <n v="17.534722508656106"/>
    <n v="12.581896396484561"/>
    <n v="717.16809459961996"/>
    <n v="999.47918299339801"/>
    <n v="-282.31108839377805"/>
    <n v="-23.163631498735313"/>
    <n v="-305.47471989251335"/>
    <n v="0"/>
    <n v="0"/>
    <n v="0"/>
    <n v="-305.47471989251335"/>
  </r>
  <r>
    <x v="7"/>
    <d v="2023-09-05T00:00:00"/>
    <d v="2023-09-25T00:00:00"/>
    <x v="5"/>
    <n v="9"/>
    <n v="56"/>
    <n v="17.534722508656106"/>
    <n v="12.581896396484561"/>
    <n v="704.58619820313538"/>
    <n v="981.94446048474197"/>
    <n v="-277.35826228160659"/>
    <n v="-22.7572519987575"/>
    <n v="-300.1155142803641"/>
    <n v="0"/>
    <n v="0"/>
    <n v="0"/>
    <n v="-300.1155142803641"/>
  </r>
  <r>
    <x v="8"/>
    <d v="2023-10-04T00:00:00"/>
    <d v="2023-10-24T00:00:00"/>
    <x v="5"/>
    <n v="9"/>
    <n v="60"/>
    <n v="17.534722508656106"/>
    <n v="12.581896396484561"/>
    <n v="754.9137837890737"/>
    <n v="1052.0833505193664"/>
    <n v="-297.16956673029267"/>
    <n v="-24.382769998668749"/>
    <n v="-321.55233672896145"/>
    <n v="0"/>
    <n v="0"/>
    <n v="0"/>
    <n v="-321.55233672896145"/>
  </r>
  <r>
    <x v="9"/>
    <d v="2023-11-03T00:00:00"/>
    <d v="2023-11-24T00:00:00"/>
    <x v="5"/>
    <n v="9"/>
    <n v="48"/>
    <n v="17.534722508656106"/>
    <n v="12.581896396484561"/>
    <n v="603.93102703125896"/>
    <n v="841.66668041549315"/>
    <n v="-237.73565338423418"/>
    <n v="-19.506215998935001"/>
    <n v="-257.24186938316916"/>
    <n v="0"/>
    <n v="0"/>
    <n v="0"/>
    <n v="-257.24186938316916"/>
  </r>
  <r>
    <x v="10"/>
    <d v="2023-12-06T00:00:00"/>
    <d v="2023-12-25T00:00:00"/>
    <x v="5"/>
    <n v="9"/>
    <n v="54"/>
    <n v="17.534722508656106"/>
    <n v="12.581896396484561"/>
    <n v="679.42240541016633"/>
    <n v="946.87501546742976"/>
    <n v="-267.45261005726343"/>
    <n v="-21.944492998801877"/>
    <n v="-289.3971030560653"/>
    <n v="0"/>
    <n v="0"/>
    <n v="0"/>
    <n v="-289.3971030560653"/>
  </r>
  <r>
    <x v="11"/>
    <d v="2024-01-03T00:00:00"/>
    <d v="2024-01-24T00:00:00"/>
    <x v="5"/>
    <n v="9"/>
    <n v="55"/>
    <n v="17.534722508656106"/>
    <n v="12.581896396484561"/>
    <n v="692.00430180665091"/>
    <n v="964.40973797608581"/>
    <n v="-272.40543616943489"/>
    <n v="-22.35087249877969"/>
    <n v="-294.75630866821456"/>
    <n v="0"/>
    <n v="0"/>
    <n v="0"/>
    <n v="-294.75630866821456"/>
  </r>
  <r>
    <x v="0"/>
    <d v="2023-02-03T00:00:00"/>
    <d v="2023-02-24T00:00:00"/>
    <x v="6"/>
    <n v="9"/>
    <n v="84"/>
    <n v="17.534722508656106"/>
    <n v="12.581896396484561"/>
    <n v="1056.8792973047032"/>
    <n v="1472.9166907271128"/>
    <n v="-416.03739342240965"/>
    <n v="-34.135877998136252"/>
    <n v="-450.17327142054592"/>
    <n v="0"/>
    <n v="0"/>
    <n v="0"/>
    <n v="-450.17327142054592"/>
  </r>
  <r>
    <x v="1"/>
    <d v="2023-03-03T00:00:00"/>
    <d v="2023-03-24T00:00:00"/>
    <x v="6"/>
    <n v="9"/>
    <n v="83"/>
    <n v="17.534722508656106"/>
    <n v="12.581896396484561"/>
    <n v="1044.2974009082186"/>
    <n v="1455.3819682184569"/>
    <n v="-411.0845673102383"/>
    <n v="-33.729498498158435"/>
    <n v="-444.81406580839672"/>
    <n v="0"/>
    <n v="0"/>
    <n v="0"/>
    <n v="-444.81406580839672"/>
  </r>
  <r>
    <x v="2"/>
    <d v="2023-04-05T00:00:00"/>
    <d v="2023-04-24T00:00:00"/>
    <x v="6"/>
    <n v="9"/>
    <n v="76"/>
    <n v="17.534722508656106"/>
    <n v="12.581896396484561"/>
    <n v="956.22412613282665"/>
    <n v="1332.638910657864"/>
    <n v="-376.41478452503736"/>
    <n v="-30.884841998313753"/>
    <n v="-407.29962652335109"/>
    <n v="0"/>
    <n v="0"/>
    <n v="0"/>
    <n v="-407.29962652335109"/>
  </r>
  <r>
    <x v="3"/>
    <d v="2023-05-03T00:00:00"/>
    <d v="2023-05-24T00:00:00"/>
    <x v="6"/>
    <n v="9"/>
    <n v="69"/>
    <n v="17.534722508656106"/>
    <n v="12.581896396484561"/>
    <n v="868.1508513574347"/>
    <n v="1209.8958530972714"/>
    <n v="-341.74500173983665"/>
    <n v="-28.040185498469064"/>
    <n v="-369.7851872383057"/>
    <n v="0"/>
    <n v="0"/>
    <n v="0"/>
    <n v="-369.7851872383057"/>
  </r>
  <r>
    <x v="4"/>
    <d v="2023-06-05T00:00:00"/>
    <d v="2023-06-26T00:00:00"/>
    <x v="6"/>
    <n v="9"/>
    <n v="99"/>
    <n v="17.534722508656106"/>
    <n v="12.581896396484561"/>
    <n v="1245.6077432519714"/>
    <n v="1735.9375283569545"/>
    <n v="-490.3297851049831"/>
    <n v="-40.231570497803439"/>
    <n v="-530.56135560278653"/>
    <n v="0"/>
    <n v="0"/>
    <n v="0"/>
    <n v="-530.56135560278653"/>
  </r>
  <r>
    <x v="5"/>
    <d v="2023-07-05T00:00:00"/>
    <d v="2023-07-24T00:00:00"/>
    <x v="6"/>
    <n v="9"/>
    <n v="149"/>
    <n v="17.534722508656106"/>
    <n v="12.581896396484561"/>
    <n v="1874.7025630761996"/>
    <n v="2612.67365378976"/>
    <n v="-737.97109071356044"/>
    <n v="-60.550545496694063"/>
    <n v="-798.52163621025454"/>
    <n v="0"/>
    <n v="0"/>
    <n v="0"/>
    <n v="-798.52163621025454"/>
  </r>
  <r>
    <x v="6"/>
    <d v="2023-08-03T00:00:00"/>
    <d v="2023-08-24T00:00:00"/>
    <x v="6"/>
    <n v="9"/>
    <n v="148"/>
    <n v="17.534722508656106"/>
    <n v="12.581896396484561"/>
    <n v="1862.120666679715"/>
    <n v="2595.1389312811039"/>
    <n v="-733.01826460138886"/>
    <n v="-60.144165996716247"/>
    <n v="-793.16243059810506"/>
    <n v="0"/>
    <n v="0"/>
    <n v="0"/>
    <n v="-793.16243059810506"/>
  </r>
  <r>
    <x v="7"/>
    <d v="2023-09-05T00:00:00"/>
    <d v="2023-09-25T00:00:00"/>
    <x v="6"/>
    <n v="9"/>
    <n v="160"/>
    <n v="17.534722508656106"/>
    <n v="12.581896396484561"/>
    <n v="2013.1034234375297"/>
    <n v="2805.5556013849769"/>
    <n v="-792.45217794744713"/>
    <n v="-65.020719996449998"/>
    <n v="-857.47289794389712"/>
    <n v="0"/>
    <n v="0"/>
    <n v="0"/>
    <n v="-857.47289794389712"/>
  </r>
  <r>
    <x v="8"/>
    <d v="2023-10-04T00:00:00"/>
    <d v="2023-10-24T00:00:00"/>
    <x v="6"/>
    <n v="9"/>
    <n v="155"/>
    <n v="17.534722508656106"/>
    <n v="12.581896396484561"/>
    <n v="1950.1939414551071"/>
    <n v="2717.8819888416965"/>
    <n v="-767.68804738658946"/>
    <n v="-62.988822496560935"/>
    <n v="-830.6768698831504"/>
    <n v="0"/>
    <n v="0"/>
    <n v="0"/>
    <n v="-830.6768698831504"/>
  </r>
  <r>
    <x v="9"/>
    <d v="2023-11-03T00:00:00"/>
    <d v="2023-11-24T00:00:00"/>
    <x v="6"/>
    <n v="9"/>
    <n v="110"/>
    <n v="17.534722508656106"/>
    <n v="12.581896396484561"/>
    <n v="1384.0086036133018"/>
    <n v="1928.8194759521716"/>
    <n v="-544.81087233886979"/>
    <n v="-44.701744997559381"/>
    <n v="-589.51261733642912"/>
    <n v="0"/>
    <n v="0"/>
    <n v="0"/>
    <n v="-589.51261733642912"/>
  </r>
  <r>
    <x v="10"/>
    <d v="2023-12-06T00:00:00"/>
    <d v="2023-12-25T00:00:00"/>
    <x v="6"/>
    <n v="9"/>
    <n v="70"/>
    <n v="17.534722508656106"/>
    <n v="12.581896396484561"/>
    <n v="880.73274775391928"/>
    <n v="1227.4305756059275"/>
    <n v="-346.69782785200823"/>
    <n v="-28.446564998446878"/>
    <n v="-375.14439285045512"/>
    <n v="0"/>
    <n v="0"/>
    <n v="0"/>
    <n v="-375.14439285045512"/>
  </r>
  <r>
    <x v="11"/>
    <d v="2024-01-03T00:00:00"/>
    <d v="2024-01-24T00:00:00"/>
    <x v="6"/>
    <n v="9"/>
    <n v="66"/>
    <n v="17.534722508656106"/>
    <n v="12.581896396484561"/>
    <n v="830.40516216798108"/>
    <n v="1157.2916855713031"/>
    <n v="-326.88652340332203"/>
    <n v="-26.821046998535628"/>
    <n v="-353.70757040185765"/>
    <n v="0"/>
    <n v="0"/>
    <n v="0"/>
    <n v="-353.70757040185765"/>
  </r>
  <r>
    <x v="0"/>
    <d v="2023-02-03T00:00:00"/>
    <d v="2023-02-24T00:00:00"/>
    <x v="7"/>
    <n v="9"/>
    <n v="63"/>
    <n v="17.534722508656106"/>
    <n v="12.581896396484561"/>
    <n v="792.65947297852733"/>
    <n v="1104.6875180453346"/>
    <n v="-312.02804506680729"/>
    <n v="-25.601908498602185"/>
    <n v="-337.62995356540949"/>
    <n v="0"/>
    <n v="0"/>
    <n v="0"/>
    <n v="-337.62995356540949"/>
  </r>
  <r>
    <x v="1"/>
    <d v="2023-03-03T00:00:00"/>
    <d v="2023-03-24T00:00:00"/>
    <x v="7"/>
    <n v="9"/>
    <n v="63"/>
    <n v="17.534722508656106"/>
    <n v="12.581896396484561"/>
    <n v="792.65947297852733"/>
    <n v="1104.6875180453346"/>
    <n v="-312.02804506680729"/>
    <n v="-25.601908498602185"/>
    <n v="-337.62995356540949"/>
    <n v="0"/>
    <n v="0"/>
    <n v="0"/>
    <n v="-337.62995356540949"/>
  </r>
  <r>
    <x v="2"/>
    <d v="2023-04-05T00:00:00"/>
    <d v="2023-04-24T00:00:00"/>
    <x v="7"/>
    <n v="9"/>
    <n v="67"/>
    <n v="17.534722508656106"/>
    <n v="12.581896396484561"/>
    <n v="842.98705856446554"/>
    <n v="1174.826408079959"/>
    <n v="-331.8393495154935"/>
    <n v="-27.227426498513438"/>
    <n v="-359.0667760140069"/>
    <n v="0"/>
    <n v="0"/>
    <n v="0"/>
    <n v="-359.0667760140069"/>
  </r>
  <r>
    <x v="3"/>
    <d v="2023-05-03T00:00:00"/>
    <d v="2023-05-24T00:00:00"/>
    <x v="7"/>
    <n v="9"/>
    <n v="62"/>
    <n v="17.534722508656106"/>
    <n v="12.581896396484561"/>
    <n v="780.07757658204275"/>
    <n v="1087.1527955366785"/>
    <n v="-307.07521895463572"/>
    <n v="-25.195528998624376"/>
    <n v="-332.27074795326007"/>
    <n v="0"/>
    <n v="0"/>
    <n v="0"/>
    <n v="-332.27074795326007"/>
  </r>
  <r>
    <x v="4"/>
    <d v="2023-06-05T00:00:00"/>
    <d v="2023-06-26T00:00:00"/>
    <x v="7"/>
    <n v="9"/>
    <n v="51"/>
    <n v="17.534722508656106"/>
    <n v="12.581896396484561"/>
    <n v="641.67671622071259"/>
    <n v="894.2708479414614"/>
    <n v="-252.59413172074881"/>
    <n v="-20.725354498868438"/>
    <n v="-273.31948621961726"/>
    <n v="0"/>
    <n v="0"/>
    <n v="0"/>
    <n v="-273.31948621961726"/>
  </r>
  <r>
    <x v="5"/>
    <d v="2023-07-05T00:00:00"/>
    <d v="2023-07-24T00:00:00"/>
    <x v="7"/>
    <n v="9"/>
    <n v="67"/>
    <n v="17.534722508656106"/>
    <n v="12.581896396484561"/>
    <n v="842.98705856446554"/>
    <n v="1174.826408079959"/>
    <n v="-331.8393495154935"/>
    <n v="-27.227426498513438"/>
    <n v="-359.0667760140069"/>
    <n v="0"/>
    <n v="0"/>
    <n v="0"/>
    <n v="-359.0667760140069"/>
  </r>
  <r>
    <x v="6"/>
    <d v="2023-08-03T00:00:00"/>
    <d v="2023-08-24T00:00:00"/>
    <x v="7"/>
    <n v="9"/>
    <n v="66"/>
    <n v="17.534722508656106"/>
    <n v="12.581896396484561"/>
    <n v="830.40516216798108"/>
    <n v="1157.2916855713031"/>
    <n v="-326.88652340332203"/>
    <n v="-26.821046998535628"/>
    <n v="-353.70757040185765"/>
    <n v="0"/>
    <n v="0"/>
    <n v="0"/>
    <n v="-353.70757040185765"/>
  </r>
  <r>
    <x v="7"/>
    <d v="2023-09-05T00:00:00"/>
    <d v="2023-09-25T00:00:00"/>
    <x v="7"/>
    <n v="9"/>
    <n v="61"/>
    <n v="17.534722508656106"/>
    <n v="12.581896396484561"/>
    <n v="767.49568018555829"/>
    <n v="1069.6180730280225"/>
    <n v="-302.12239284246425"/>
    <n v="-24.789149498646562"/>
    <n v="-326.91154234111082"/>
    <n v="0"/>
    <n v="0"/>
    <n v="0"/>
    <n v="-326.91154234111082"/>
  </r>
  <r>
    <x v="8"/>
    <d v="2023-10-04T00:00:00"/>
    <d v="2023-10-24T00:00:00"/>
    <x v="7"/>
    <n v="9"/>
    <n v="55"/>
    <n v="17.534722508656106"/>
    <n v="12.581896396484561"/>
    <n v="692.00430180665091"/>
    <n v="964.40973797608581"/>
    <n v="-272.40543616943489"/>
    <n v="-22.35087249877969"/>
    <n v="-294.75630866821456"/>
    <n v="0"/>
    <n v="0"/>
    <n v="0"/>
    <n v="-294.75630866821456"/>
  </r>
  <r>
    <x v="9"/>
    <d v="2023-11-03T00:00:00"/>
    <d v="2023-11-24T00:00:00"/>
    <x v="7"/>
    <n v="9"/>
    <n v="59"/>
    <n v="17.534722508656106"/>
    <n v="12.581896396484561"/>
    <n v="742.33188739258912"/>
    <n v="1034.5486280107102"/>
    <n v="-292.21674061812109"/>
    <n v="-23.97639049869094"/>
    <n v="-316.19313111681203"/>
    <n v="0"/>
    <n v="0"/>
    <n v="0"/>
    <n v="-316.19313111681203"/>
  </r>
  <r>
    <x v="10"/>
    <d v="2023-12-06T00:00:00"/>
    <d v="2023-12-25T00:00:00"/>
    <x v="7"/>
    <n v="9"/>
    <n v="63"/>
    <n v="17.534722508656106"/>
    <n v="12.581896396484561"/>
    <n v="792.65947297852733"/>
    <n v="1104.6875180453346"/>
    <n v="-312.02804506680729"/>
    <n v="-25.601908498602185"/>
    <n v="-337.62995356540949"/>
    <n v="0"/>
    <n v="0"/>
    <n v="0"/>
    <n v="-337.62995356540949"/>
  </r>
  <r>
    <x v="11"/>
    <d v="2024-01-03T00:00:00"/>
    <d v="2024-01-24T00:00:00"/>
    <x v="7"/>
    <n v="9"/>
    <n v="63"/>
    <n v="17.534722508656106"/>
    <n v="12.581896396484561"/>
    <n v="792.65947297852733"/>
    <n v="1104.6875180453346"/>
    <n v="-312.02804506680729"/>
    <n v="-25.601908498602185"/>
    <n v="-337.62995356540949"/>
    <n v="0"/>
    <n v="0"/>
    <n v="0"/>
    <n v="-337.62995356540949"/>
  </r>
  <r>
    <x v="0"/>
    <d v="2023-02-03T00:00:00"/>
    <d v="2023-02-24T00:00:00"/>
    <x v="8"/>
    <n v="9"/>
    <n v="967"/>
    <n v="17.534722508656106"/>
    <n v="12.581896396484561"/>
    <n v="12166.693815400571"/>
    <n v="16956.076665870456"/>
    <n v="-4789.3828504698849"/>
    <n v="-392.96897647854468"/>
    <n v="-5182.3518269484293"/>
    <n v="0"/>
    <n v="0"/>
    <n v="0"/>
    <n v="-5182.3518269484293"/>
  </r>
  <r>
    <x v="1"/>
    <d v="2023-03-03T00:00:00"/>
    <d v="2023-03-24T00:00:00"/>
    <x v="8"/>
    <n v="9"/>
    <n v="955"/>
    <n v="17.534722508656106"/>
    <n v="12.581896396484561"/>
    <n v="12015.711058642755"/>
    <n v="16745.659995766582"/>
    <n v="-4729.9489371238269"/>
    <n v="-388.09242247881099"/>
    <n v="-5118.0413596026383"/>
    <n v="0"/>
    <n v="0"/>
    <n v="0"/>
    <n v="-5118.0413596026383"/>
  </r>
  <r>
    <x v="2"/>
    <d v="2023-04-05T00:00:00"/>
    <d v="2023-04-24T00:00:00"/>
    <x v="8"/>
    <n v="9"/>
    <n v="872"/>
    <n v="17.534722508656106"/>
    <n v="12.581896396484561"/>
    <n v="10971.413657734538"/>
    <n v="15290.278027548124"/>
    <n v="-4318.8643698135857"/>
    <n v="-354.36292398065251"/>
    <n v="-4673.227293794238"/>
    <n v="0"/>
    <n v="0"/>
    <n v="0"/>
    <n v="-4673.227293794238"/>
  </r>
  <r>
    <x v="3"/>
    <d v="2023-05-03T00:00:00"/>
    <d v="2023-05-24T00:00:00"/>
    <x v="8"/>
    <n v="9"/>
    <n v="602"/>
    <n v="17.534722508656106"/>
    <n v="12.581896396484561"/>
    <n v="7574.3016306837062"/>
    <n v="10555.902950210975"/>
    <n v="-2981.601319527269"/>
    <n v="-244.64045898664313"/>
    <n v="-3226.2417785139123"/>
    <n v="0"/>
    <n v="0"/>
    <n v="0"/>
    <n v="-3226.2417785139123"/>
  </r>
  <r>
    <x v="4"/>
    <d v="2023-06-05T00:00:00"/>
    <d v="2023-06-26T00:00:00"/>
    <x v="8"/>
    <n v="9"/>
    <n v="711"/>
    <n v="17.534722508656106"/>
    <n v="12.581896396484561"/>
    <n v="8945.7283379005221"/>
    <n v="12467.187703654492"/>
    <n v="-3521.4593657539699"/>
    <n v="-288.93582448422467"/>
    <n v="-3810.3951902381946"/>
    <n v="0"/>
    <n v="0"/>
    <n v="0"/>
    <n v="-3810.3951902381946"/>
  </r>
  <r>
    <x v="5"/>
    <d v="2023-07-05T00:00:00"/>
    <d v="2023-07-24T00:00:00"/>
    <x v="8"/>
    <n v="9"/>
    <n v="936"/>
    <n v="17.534722508656106"/>
    <n v="12.581896396484561"/>
    <n v="11776.655027109549"/>
    <n v="16412.500268102114"/>
    <n v="-4635.8452409925649"/>
    <n v="-380.37121197923256"/>
    <n v="-5016.2164529717975"/>
    <n v="0"/>
    <n v="0"/>
    <n v="0"/>
    <n v="-5016.2164529717975"/>
  </r>
  <r>
    <x v="6"/>
    <d v="2023-08-03T00:00:00"/>
    <d v="2023-08-24T00:00:00"/>
    <x v="8"/>
    <n v="9"/>
    <n v="932"/>
    <n v="17.534722508656106"/>
    <n v="12.581896396484561"/>
    <n v="11726.32744152361"/>
    <n v="16342.361378067491"/>
    <n v="-4616.0339365438813"/>
    <n v="-378.74569397932129"/>
    <n v="-4994.7796305232023"/>
    <n v="0"/>
    <n v="0"/>
    <n v="0"/>
    <n v="-4994.7796305232023"/>
  </r>
  <r>
    <x v="7"/>
    <d v="2023-09-05T00:00:00"/>
    <d v="2023-09-25T00:00:00"/>
    <x v="8"/>
    <n v="9"/>
    <n v="1025"/>
    <n v="17.534722508656106"/>
    <n v="12.581896396484561"/>
    <n v="12896.443806396675"/>
    <n v="17973.090571372508"/>
    <n v="-5076.6467649758324"/>
    <n v="-416.53898747725782"/>
    <n v="-5493.1857524530906"/>
    <n v="0"/>
    <n v="0"/>
    <n v="0"/>
    <n v="-5493.1857524530906"/>
  </r>
  <r>
    <x v="8"/>
    <d v="2023-10-04T00:00:00"/>
    <d v="2023-10-24T00:00:00"/>
    <x v="8"/>
    <n v="9"/>
    <n v="934"/>
    <n v="17.534722508656106"/>
    <n v="12.581896396484561"/>
    <n v="11751.49123431658"/>
    <n v="16377.430823084804"/>
    <n v="-4625.939588768224"/>
    <n v="-379.55845297927686"/>
    <n v="-5005.4980417475008"/>
    <n v="0"/>
    <n v="0"/>
    <n v="0"/>
    <n v="-5005.4980417475008"/>
  </r>
  <r>
    <x v="9"/>
    <d v="2023-11-03T00:00:00"/>
    <d v="2023-11-24T00:00:00"/>
    <x v="8"/>
    <n v="9"/>
    <n v="700"/>
    <n v="17.534722508656106"/>
    <n v="12.581896396484561"/>
    <n v="8807.3274775391928"/>
    <n v="12274.305756059273"/>
    <n v="-3466.9782785200805"/>
    <n v="-284.46564998446877"/>
    <n v="-3751.4439285045491"/>
    <n v="0"/>
    <n v="0"/>
    <n v="0"/>
    <n v="-3751.4439285045491"/>
  </r>
  <r>
    <x v="10"/>
    <d v="2023-12-06T00:00:00"/>
    <d v="2023-12-25T00:00:00"/>
    <x v="8"/>
    <n v="9"/>
    <n v="867"/>
    <n v="17.534722508656106"/>
    <n v="12.581896396484561"/>
    <n v="10908.504175752114"/>
    <n v="15202.604415004844"/>
    <n v="-4294.1002392527298"/>
    <n v="-352.33102648076346"/>
    <n v="-4646.4312657334931"/>
    <n v="0"/>
    <n v="0"/>
    <n v="0"/>
    <n v="-4646.4312657334931"/>
  </r>
  <r>
    <x v="11"/>
    <d v="2024-01-03T00:00:00"/>
    <d v="2024-01-24T00:00:00"/>
    <x v="8"/>
    <n v="9"/>
    <n v="916"/>
    <n v="17.534722508656106"/>
    <n v="12.581896396484561"/>
    <n v="11525.017099179859"/>
    <n v="16061.805817928993"/>
    <n v="-4536.7887187491342"/>
    <n v="-372.24362197967628"/>
    <n v="-4909.0323407288106"/>
    <n v="0"/>
    <n v="0"/>
    <n v="0"/>
    <n v="-4909.0323407288106"/>
  </r>
  <r>
    <x v="0"/>
    <d v="2023-02-03T00:00:00"/>
    <d v="2023-02-24T00:00:00"/>
    <x v="9"/>
    <n v="9"/>
    <n v="6"/>
    <n v="17.534722508656106"/>
    <n v="12.581896396484561"/>
    <n v="75.49137837890737"/>
    <n v="105.20833505193664"/>
    <n v="-29.716956673029273"/>
    <n v="-2.4382769998668752"/>
    <n v="-32.155233672896145"/>
    <n v="0"/>
    <n v="0"/>
    <n v="0"/>
    <n v="-32.155233672896145"/>
  </r>
  <r>
    <x v="1"/>
    <d v="2023-03-03T00:00:00"/>
    <d v="2023-03-24T00:00:00"/>
    <x v="9"/>
    <n v="9"/>
    <n v="5"/>
    <n v="17.534722508656106"/>
    <n v="12.581896396484561"/>
    <n v="62.909481982422804"/>
    <n v="87.673612543280527"/>
    <n v="-24.764130560857723"/>
    <n v="-2.0318974998890624"/>
    <n v="-26.796028060746785"/>
    <n v="0"/>
    <n v="0"/>
    <n v="0"/>
    <n v="-26.796028060746785"/>
  </r>
  <r>
    <x v="2"/>
    <d v="2023-04-05T00:00:00"/>
    <d v="2023-04-24T00:00:00"/>
    <x v="9"/>
    <n v="9"/>
    <n v="5"/>
    <n v="17.534722508656106"/>
    <n v="12.581896396484561"/>
    <n v="62.909481982422804"/>
    <n v="87.673612543280527"/>
    <n v="-24.764130560857723"/>
    <n v="-2.0318974998890624"/>
    <n v="-26.796028060746785"/>
    <n v="0"/>
    <n v="0"/>
    <n v="0"/>
    <n v="-26.796028060746785"/>
  </r>
  <r>
    <x v="3"/>
    <d v="2023-05-03T00:00:00"/>
    <d v="2023-05-24T00:00:00"/>
    <x v="9"/>
    <n v="9"/>
    <n v="7"/>
    <n v="17.534722508656106"/>
    <n v="12.581896396484561"/>
    <n v="88.073274775391923"/>
    <n v="122.74305756059275"/>
    <n v="-34.669782785200823"/>
    <n v="-2.8446564998446875"/>
    <n v="-37.514439285045512"/>
    <n v="0"/>
    <n v="0"/>
    <n v="0"/>
    <n v="-37.514439285045512"/>
  </r>
  <r>
    <x v="4"/>
    <d v="2023-06-05T00:00:00"/>
    <d v="2023-06-26T00:00:00"/>
    <x v="9"/>
    <n v="9"/>
    <n v="4"/>
    <n v="17.534722508656106"/>
    <n v="12.581896396484561"/>
    <n v="50.327585585938245"/>
    <n v="70.138890034624424"/>
    <n v="-19.81130444868618"/>
    <n v="-1.6255179999112499"/>
    <n v="-21.436822448597429"/>
    <n v="0"/>
    <n v="0"/>
    <n v="0"/>
    <n v="-21.436822448597429"/>
  </r>
  <r>
    <x v="5"/>
    <d v="2023-07-05T00:00:00"/>
    <d v="2023-07-24T00:00:00"/>
    <x v="9"/>
    <n v="9"/>
    <n v="14"/>
    <n v="17.534722508656106"/>
    <n v="12.581896396484561"/>
    <n v="176.14654955078385"/>
    <n v="245.48611512118549"/>
    <n v="-69.339565570401646"/>
    <n v="-5.689312999689375"/>
    <n v="-75.028878570091024"/>
    <n v="0"/>
    <n v="0"/>
    <n v="0"/>
    <n v="-75.028878570091024"/>
  </r>
  <r>
    <x v="6"/>
    <d v="2023-08-03T00:00:00"/>
    <d v="2023-08-24T00:00:00"/>
    <x v="9"/>
    <n v="9"/>
    <n v="13"/>
    <n v="17.534722508656106"/>
    <n v="12.581896396484561"/>
    <n v="163.56465315429929"/>
    <n v="227.95139261252939"/>
    <n v="-64.386739458230096"/>
    <n v="-5.2829334997115618"/>
    <n v="-69.669672957941657"/>
    <n v="0"/>
    <n v="0"/>
    <n v="0"/>
    <n v="-69.669672957941657"/>
  </r>
  <r>
    <x v="7"/>
    <d v="2023-09-05T00:00:00"/>
    <d v="2023-09-25T00:00:00"/>
    <x v="9"/>
    <n v="9"/>
    <n v="19"/>
    <n v="17.534722508656106"/>
    <n v="12.581896396484561"/>
    <n v="239.05603153320666"/>
    <n v="333.159727664466"/>
    <n v="-94.103696131259341"/>
    <n v="-7.7212104995784383"/>
    <n v="-101.82490663083777"/>
    <n v="0"/>
    <n v="0"/>
    <n v="0"/>
    <n v="-101.82490663083777"/>
  </r>
  <r>
    <x v="8"/>
    <d v="2023-10-04T00:00:00"/>
    <d v="2023-10-24T00:00:00"/>
    <x v="9"/>
    <n v="9"/>
    <n v="18"/>
    <n v="17.534722508656106"/>
    <n v="12.581896396484561"/>
    <n v="226.47413513672211"/>
    <n v="315.6250051558099"/>
    <n v="-89.15087001908779"/>
    <n v="-7.3148309996006251"/>
    <n v="-96.465701018688421"/>
    <n v="0"/>
    <n v="0"/>
    <n v="0"/>
    <n v="-96.465701018688421"/>
  </r>
  <r>
    <x v="9"/>
    <d v="2023-11-03T00:00:00"/>
    <d v="2023-11-24T00:00:00"/>
    <x v="9"/>
    <n v="9"/>
    <n v="6"/>
    <n v="17.534722508656106"/>
    <n v="12.581896396484561"/>
    <n v="75.49137837890737"/>
    <n v="105.20833505193664"/>
    <n v="-29.716956673029273"/>
    <n v="-2.4382769998668752"/>
    <n v="-32.155233672896145"/>
    <n v="0"/>
    <n v="0"/>
    <n v="0"/>
    <n v="-32.155233672896145"/>
  </r>
  <r>
    <x v="10"/>
    <d v="2023-12-06T00:00:00"/>
    <d v="2023-12-25T00:00:00"/>
    <x v="9"/>
    <n v="9"/>
    <n v="6"/>
    <n v="17.534722508656106"/>
    <n v="12.581896396484561"/>
    <n v="75.49137837890737"/>
    <n v="105.20833505193664"/>
    <n v="-29.716956673029273"/>
    <n v="-2.4382769998668752"/>
    <n v="-32.155233672896145"/>
    <n v="0"/>
    <n v="0"/>
    <n v="0"/>
    <n v="-32.155233672896145"/>
  </r>
  <r>
    <x v="11"/>
    <d v="2024-01-03T00:00:00"/>
    <d v="2024-01-24T00:00:00"/>
    <x v="9"/>
    <n v="9"/>
    <n v="5"/>
    <n v="17.534722508656106"/>
    <n v="12.581896396484561"/>
    <n v="62.909481982422804"/>
    <n v="87.673612543280527"/>
    <n v="-24.764130560857723"/>
    <n v="-2.0318974998890624"/>
    <n v="-26.796028060746785"/>
    <n v="0"/>
    <n v="0"/>
    <n v="0"/>
    <n v="-26.796028060746785"/>
  </r>
  <r>
    <x v="0"/>
    <d v="2023-02-03T00:00:00"/>
    <d v="2023-02-24T00:00:00"/>
    <x v="10"/>
    <n v="9"/>
    <n v="4"/>
    <n v="17.534722508656106"/>
    <n v="12.581896396484561"/>
    <n v="50.327585585938245"/>
    <n v="70.138890034624424"/>
    <n v="-19.81130444868618"/>
    <n v="-1.6255179999112499"/>
    <n v="-21.436822448597429"/>
    <n v="0"/>
    <n v="0"/>
    <n v="0"/>
    <n v="-21.436822448597429"/>
  </r>
  <r>
    <x v="1"/>
    <d v="2023-03-03T00:00:00"/>
    <d v="2023-03-24T00:00:00"/>
    <x v="10"/>
    <n v="9"/>
    <n v="5"/>
    <n v="17.534722508656106"/>
    <n v="12.581896396484561"/>
    <n v="62.909481982422804"/>
    <n v="87.673612543280527"/>
    <n v="-24.764130560857723"/>
    <n v="-2.0318974998890624"/>
    <n v="-26.796028060746785"/>
    <n v="0"/>
    <n v="0"/>
    <n v="0"/>
    <n v="-26.796028060746785"/>
  </r>
  <r>
    <x v="2"/>
    <d v="2023-04-05T00:00:00"/>
    <d v="2023-04-24T00:00:00"/>
    <x v="10"/>
    <n v="9"/>
    <n v="1"/>
    <n v="17.534722508656106"/>
    <n v="12.581896396484561"/>
    <n v="12.581896396484561"/>
    <n v="17.534722508656106"/>
    <n v="-4.9528261121715449"/>
    <n v="-0.40637949997781248"/>
    <n v="-5.3592056121493572"/>
    <n v="0"/>
    <n v="0"/>
    <n v="0"/>
    <n v="-5.3592056121493572"/>
  </r>
  <r>
    <x v="3"/>
    <d v="2023-05-03T00:00:00"/>
    <d v="2023-05-24T00:00:00"/>
    <x v="10"/>
    <n v="9"/>
    <n v="7"/>
    <n v="17.534722508656106"/>
    <n v="12.581896396484561"/>
    <n v="88.073274775391923"/>
    <n v="122.74305756059275"/>
    <n v="-34.669782785200823"/>
    <n v="-2.8446564998446875"/>
    <n v="-37.514439285045512"/>
    <n v="0"/>
    <n v="0"/>
    <n v="0"/>
    <n v="-37.514439285045512"/>
  </r>
  <r>
    <x v="4"/>
    <d v="2023-06-05T00:00:00"/>
    <d v="2023-06-26T00:00:00"/>
    <x v="10"/>
    <n v="9"/>
    <n v="3"/>
    <n v="17.534722508656106"/>
    <n v="12.581896396484561"/>
    <n v="37.745689189453685"/>
    <n v="52.604167525968322"/>
    <n v="-14.858478336514636"/>
    <n v="-1.2191384999334376"/>
    <n v="-16.077616836448072"/>
    <n v="0"/>
    <n v="0"/>
    <n v="0"/>
    <n v="-16.077616836448072"/>
  </r>
  <r>
    <x v="5"/>
    <d v="2023-07-05T00:00:00"/>
    <d v="2023-07-24T00:00:00"/>
    <x v="10"/>
    <n v="9"/>
    <n v="7"/>
    <n v="17.534722508656106"/>
    <n v="12.581896396484561"/>
    <n v="88.073274775391923"/>
    <n v="122.74305756059275"/>
    <n v="-34.669782785200823"/>
    <n v="-2.8446564998446875"/>
    <n v="-37.514439285045512"/>
    <n v="0"/>
    <n v="0"/>
    <n v="0"/>
    <n v="-37.514439285045512"/>
  </r>
  <r>
    <x v="6"/>
    <d v="2023-08-03T00:00:00"/>
    <d v="2023-08-24T00:00:00"/>
    <x v="10"/>
    <n v="9"/>
    <n v="5"/>
    <n v="17.534722508656106"/>
    <n v="12.581896396484561"/>
    <n v="62.909481982422804"/>
    <n v="87.673612543280527"/>
    <n v="-24.764130560857723"/>
    <n v="-2.0318974998890624"/>
    <n v="-26.796028060746785"/>
    <n v="0"/>
    <n v="0"/>
    <n v="0"/>
    <n v="-26.796028060746785"/>
  </r>
  <r>
    <x v="7"/>
    <d v="2023-09-05T00:00:00"/>
    <d v="2023-09-25T00:00:00"/>
    <x v="10"/>
    <n v="9"/>
    <n v="5"/>
    <n v="17.534722508656106"/>
    <n v="12.581896396484561"/>
    <n v="62.909481982422804"/>
    <n v="87.673612543280527"/>
    <n v="-24.764130560857723"/>
    <n v="-2.0318974998890624"/>
    <n v="-26.796028060746785"/>
    <n v="0"/>
    <n v="0"/>
    <n v="0"/>
    <n v="-26.796028060746785"/>
  </r>
  <r>
    <x v="8"/>
    <d v="2023-10-04T00:00:00"/>
    <d v="2023-10-24T00:00:00"/>
    <x v="10"/>
    <n v="9"/>
    <n v="6"/>
    <n v="17.534722508656106"/>
    <n v="12.581896396484561"/>
    <n v="75.49137837890737"/>
    <n v="105.20833505193664"/>
    <n v="-29.716956673029273"/>
    <n v="-2.4382769998668752"/>
    <n v="-32.155233672896145"/>
    <n v="0"/>
    <n v="0"/>
    <n v="0"/>
    <n v="-32.155233672896145"/>
  </r>
  <r>
    <x v="9"/>
    <d v="2023-11-03T00:00:00"/>
    <d v="2023-11-24T00:00:00"/>
    <x v="10"/>
    <n v="9"/>
    <n v="5"/>
    <n v="17.534722508656106"/>
    <n v="12.581896396484561"/>
    <n v="62.909481982422804"/>
    <n v="87.673612543280527"/>
    <n v="-24.764130560857723"/>
    <n v="-2.0318974998890624"/>
    <n v="-26.796028060746785"/>
    <n v="0"/>
    <n v="0"/>
    <n v="0"/>
    <n v="-26.796028060746785"/>
  </r>
  <r>
    <x v="10"/>
    <d v="2023-12-06T00:00:00"/>
    <d v="2023-12-25T00:00:00"/>
    <x v="10"/>
    <n v="9"/>
    <n v="4"/>
    <n v="17.534722508656106"/>
    <n v="12.581896396484561"/>
    <n v="50.327585585938245"/>
    <n v="70.138890034624424"/>
    <n v="-19.81130444868618"/>
    <n v="-1.6255179999112499"/>
    <n v="-21.436822448597429"/>
    <n v="0"/>
    <n v="0"/>
    <n v="0"/>
    <n v="-21.436822448597429"/>
  </r>
  <r>
    <x v="11"/>
    <d v="2024-01-03T00:00:00"/>
    <d v="2024-01-24T00:00:00"/>
    <x v="10"/>
    <n v="9"/>
    <n v="4"/>
    <n v="17.534722508656106"/>
    <n v="12.581896396484561"/>
    <n v="50.327585585938245"/>
    <n v="70.138890034624424"/>
    <n v="-19.81130444868618"/>
    <n v="-1.6255179999112499"/>
    <n v="-21.436822448597429"/>
    <n v="0"/>
    <n v="0"/>
    <n v="0"/>
    <n v="-21.436822448597429"/>
  </r>
  <r>
    <x v="0"/>
    <d v="2023-02-03T00:00:00"/>
    <d v="2023-02-24T00:00:00"/>
    <x v="11"/>
    <n v="9"/>
    <n v="113"/>
    <n v="17.534722508656106"/>
    <n v="12.581896396484561"/>
    <n v="1421.7542928027553"/>
    <n v="1981.4236434781401"/>
    <n v="-559.66935067538475"/>
    <n v="-45.92088349749281"/>
    <n v="-605.59023417287756"/>
    <n v="0"/>
    <n v="0"/>
    <n v="0"/>
    <n v="-605.59023417287756"/>
  </r>
  <r>
    <x v="1"/>
    <d v="2023-03-03T00:00:00"/>
    <d v="2023-03-24T00:00:00"/>
    <x v="11"/>
    <n v="9"/>
    <n v="108"/>
    <n v="17.534722508656106"/>
    <n v="12.581896396484561"/>
    <n v="1358.8448108203327"/>
    <n v="1893.7500309348595"/>
    <n v="-534.90522011452686"/>
    <n v="-43.888985997603754"/>
    <n v="-578.79420611213061"/>
    <n v="0"/>
    <n v="0"/>
    <n v="0"/>
    <n v="-578.79420611213061"/>
  </r>
  <r>
    <x v="2"/>
    <d v="2023-04-05T00:00:00"/>
    <d v="2023-04-24T00:00:00"/>
    <x v="11"/>
    <n v="9"/>
    <n v="96"/>
    <n v="17.534722508656106"/>
    <n v="12.581896396484561"/>
    <n v="1207.8620540625179"/>
    <n v="1683.3333608309863"/>
    <n v="-475.47130676846837"/>
    <n v="-39.012431997870003"/>
    <n v="-514.48373876633832"/>
    <n v="0"/>
    <n v="0"/>
    <n v="0"/>
    <n v="-514.48373876633832"/>
  </r>
  <r>
    <x v="3"/>
    <d v="2023-05-03T00:00:00"/>
    <d v="2023-05-24T00:00:00"/>
    <x v="11"/>
    <n v="9"/>
    <n v="91"/>
    <n v="17.534722508656106"/>
    <n v="12.581896396484561"/>
    <n v="1144.952572080095"/>
    <n v="1595.6597482877057"/>
    <n v="-450.7071762076107"/>
    <n v="-36.980534497980941"/>
    <n v="-487.68771070559166"/>
    <n v="0"/>
    <n v="0"/>
    <n v="0"/>
    <n v="-487.68771070559166"/>
  </r>
  <r>
    <x v="4"/>
    <d v="2023-06-05T00:00:00"/>
    <d v="2023-06-26T00:00:00"/>
    <x v="11"/>
    <n v="9"/>
    <n v="125"/>
    <n v="17.534722508656106"/>
    <n v="12.581896396484561"/>
    <n v="1572.7370495605701"/>
    <n v="2191.8403135820131"/>
    <n v="-619.10326402144301"/>
    <n v="-50.797437497226568"/>
    <n v="-669.90070151866962"/>
    <n v="0"/>
    <n v="0"/>
    <n v="0"/>
    <n v="-669.90070151866962"/>
  </r>
  <r>
    <x v="5"/>
    <d v="2023-07-05T00:00:00"/>
    <d v="2023-07-24T00:00:00"/>
    <x v="11"/>
    <n v="9"/>
    <n v="167"/>
    <n v="17.534722508656106"/>
    <n v="12.581896396484561"/>
    <n v="2101.1766982129216"/>
    <n v="2928.2986589455695"/>
    <n v="-827.12196073264795"/>
    <n v="-67.865376496294687"/>
    <n v="-894.98733722894258"/>
    <n v="0"/>
    <n v="0"/>
    <n v="0"/>
    <n v="-894.98733722894258"/>
  </r>
  <r>
    <x v="6"/>
    <d v="2023-08-03T00:00:00"/>
    <d v="2023-08-24T00:00:00"/>
    <x v="11"/>
    <n v="9"/>
    <n v="160"/>
    <n v="17.534722508656106"/>
    <n v="12.581896396484561"/>
    <n v="2013.1034234375297"/>
    <n v="2805.5556013849769"/>
    <n v="-792.45217794744713"/>
    <n v="-65.020719996449998"/>
    <n v="-857.47289794389712"/>
    <n v="0"/>
    <n v="0"/>
    <n v="0"/>
    <n v="-857.47289794389712"/>
  </r>
  <r>
    <x v="7"/>
    <d v="2023-09-05T00:00:00"/>
    <d v="2023-09-25T00:00:00"/>
    <x v="11"/>
    <n v="9"/>
    <n v="181"/>
    <n v="17.534722508656106"/>
    <n v="12.581896396484561"/>
    <n v="2277.3232477637057"/>
    <n v="3173.7847740667553"/>
    <n v="-896.4615263030496"/>
    <n v="-73.554689495984064"/>
    <n v="-970.01621579903372"/>
    <n v="0"/>
    <n v="0"/>
    <n v="0"/>
    <n v="-970.01621579903372"/>
  </r>
  <r>
    <x v="8"/>
    <d v="2023-10-04T00:00:00"/>
    <d v="2023-10-24T00:00:00"/>
    <x v="11"/>
    <n v="9"/>
    <n v="157"/>
    <n v="17.534722508656106"/>
    <n v="12.581896396484561"/>
    <n v="1975.3577342480762"/>
    <n v="2752.9514338590088"/>
    <n v="-777.59369961093262"/>
    <n v="-63.801581496516562"/>
    <n v="-841.39528110744914"/>
    <n v="0"/>
    <n v="0"/>
    <n v="0"/>
    <n v="-841.39528110744914"/>
  </r>
  <r>
    <x v="9"/>
    <d v="2023-11-03T00:00:00"/>
    <d v="2023-11-24T00:00:00"/>
    <x v="11"/>
    <n v="9"/>
    <n v="118"/>
    <n v="17.534722508656106"/>
    <n v="12.581896396484561"/>
    <n v="1484.6637747851782"/>
    <n v="2069.0972560214204"/>
    <n v="-584.43348123624219"/>
    <n v="-47.952780997381879"/>
    <n v="-632.38626223362405"/>
    <n v="0"/>
    <n v="0"/>
    <n v="0"/>
    <n v="-632.38626223362405"/>
  </r>
  <r>
    <x v="10"/>
    <d v="2023-12-06T00:00:00"/>
    <d v="2023-12-25T00:00:00"/>
    <x v="11"/>
    <n v="9"/>
    <n v="102"/>
    <n v="17.534722508656106"/>
    <n v="12.581896396484561"/>
    <n v="1283.3534324414252"/>
    <n v="1788.5416958829228"/>
    <n v="-505.18826344149761"/>
    <n v="-41.450708997736875"/>
    <n v="-546.63897243923452"/>
    <n v="0"/>
    <n v="0"/>
    <n v="0"/>
    <n v="-546.63897243923452"/>
  </r>
  <r>
    <x v="11"/>
    <d v="2024-01-03T00:00:00"/>
    <d v="2024-01-24T00:00:00"/>
    <x v="11"/>
    <n v="9"/>
    <n v="99"/>
    <n v="17.534722508656106"/>
    <n v="12.581896396484561"/>
    <n v="1245.6077432519714"/>
    <n v="1735.9375283569545"/>
    <n v="-490.3297851049831"/>
    <n v="-40.231570497803439"/>
    <n v="-530.56135560278653"/>
    <n v="0"/>
    <n v="0"/>
    <n v="0"/>
    <n v="-530.56135560278653"/>
  </r>
  <r>
    <x v="0"/>
    <d v="2023-02-03T00:00:00"/>
    <d v="2023-02-24T00:00:00"/>
    <x v="12"/>
    <n v="9"/>
    <n v="7"/>
    <n v="17.534722508656106"/>
    <n v="12.581896396484561"/>
    <n v="88.073274775391923"/>
    <n v="122.74305756059275"/>
    <n v="-34.669782785200823"/>
    <n v="-2.8446564998446875"/>
    <n v="-37.514439285045512"/>
    <n v="0"/>
    <n v="0"/>
    <n v="0"/>
    <n v="-37.514439285045512"/>
  </r>
  <r>
    <x v="1"/>
    <d v="2023-03-03T00:00:00"/>
    <d v="2023-03-24T00:00:00"/>
    <x v="12"/>
    <n v="9"/>
    <n v="10"/>
    <n v="17.534722508656106"/>
    <n v="12.581896396484561"/>
    <n v="125.81896396484561"/>
    <n v="175.34722508656105"/>
    <n v="-49.528261121715445"/>
    <n v="-4.0637949997781249"/>
    <n v="-53.59205612149357"/>
    <n v="0"/>
    <n v="0"/>
    <n v="0"/>
    <n v="-53.59205612149357"/>
  </r>
  <r>
    <x v="2"/>
    <d v="2023-04-05T00:00:00"/>
    <d v="2023-04-24T00:00:00"/>
    <x v="12"/>
    <n v="9"/>
    <n v="8"/>
    <n v="17.534722508656106"/>
    <n v="12.581896396484561"/>
    <n v="100.65517117187649"/>
    <n v="140.27778006924885"/>
    <n v="-39.622608897372359"/>
    <n v="-3.2510359998224998"/>
    <n v="-42.873644897194858"/>
    <n v="0"/>
    <n v="0"/>
    <n v="0"/>
    <n v="-42.873644897194858"/>
  </r>
  <r>
    <x v="3"/>
    <d v="2023-05-03T00:00:00"/>
    <d v="2023-05-24T00:00:00"/>
    <x v="12"/>
    <n v="9"/>
    <n v="8"/>
    <n v="17.534722508656106"/>
    <n v="12.581896396484561"/>
    <n v="100.65517117187649"/>
    <n v="140.27778006924885"/>
    <n v="-39.622608897372359"/>
    <n v="-3.2510359998224998"/>
    <n v="-42.873644897194858"/>
    <n v="0"/>
    <n v="0"/>
    <n v="0"/>
    <n v="-42.873644897194858"/>
  </r>
  <r>
    <x v="4"/>
    <d v="2023-06-05T00:00:00"/>
    <d v="2023-06-26T00:00:00"/>
    <x v="12"/>
    <n v="9"/>
    <n v="10"/>
    <n v="17.534722508656106"/>
    <n v="12.581896396484561"/>
    <n v="125.81896396484561"/>
    <n v="175.34722508656105"/>
    <n v="-49.528261121715445"/>
    <n v="-4.0637949997781249"/>
    <n v="-53.59205612149357"/>
    <n v="0"/>
    <n v="0"/>
    <n v="0"/>
    <n v="-53.59205612149357"/>
  </r>
  <r>
    <x v="5"/>
    <d v="2023-07-05T00:00:00"/>
    <d v="2023-07-24T00:00:00"/>
    <x v="12"/>
    <n v="9"/>
    <n v="12"/>
    <n v="17.534722508656106"/>
    <n v="12.581896396484561"/>
    <n v="150.98275675781474"/>
    <n v="210.41667010387329"/>
    <n v="-59.433913346058546"/>
    <n v="-4.8765539997337504"/>
    <n v="-64.31046734579229"/>
    <n v="0"/>
    <n v="0"/>
    <n v="0"/>
    <n v="-64.31046734579229"/>
  </r>
  <r>
    <x v="6"/>
    <d v="2023-08-03T00:00:00"/>
    <d v="2023-08-24T00:00:00"/>
    <x v="12"/>
    <n v="9"/>
    <n v="14"/>
    <n v="17.534722508656106"/>
    <n v="12.581896396484561"/>
    <n v="176.14654955078385"/>
    <n v="245.48611512118549"/>
    <n v="-69.339565570401646"/>
    <n v="-5.689312999689375"/>
    <n v="-75.028878570091024"/>
    <n v="0"/>
    <n v="0"/>
    <n v="0"/>
    <n v="-75.028878570091024"/>
  </r>
  <r>
    <x v="7"/>
    <d v="2023-09-05T00:00:00"/>
    <d v="2023-09-25T00:00:00"/>
    <x v="12"/>
    <n v="9"/>
    <n v="13"/>
    <n v="17.534722508656106"/>
    <n v="12.581896396484561"/>
    <n v="163.56465315429929"/>
    <n v="227.95139261252939"/>
    <n v="-64.386739458230096"/>
    <n v="-5.2829334997115618"/>
    <n v="-69.669672957941657"/>
    <n v="0"/>
    <n v="0"/>
    <n v="0"/>
    <n v="-69.669672957941657"/>
  </r>
  <r>
    <x v="8"/>
    <d v="2023-10-04T00:00:00"/>
    <d v="2023-10-24T00:00:00"/>
    <x v="12"/>
    <n v="9"/>
    <n v="13"/>
    <n v="17.534722508656106"/>
    <n v="12.581896396484561"/>
    <n v="163.56465315429929"/>
    <n v="227.95139261252939"/>
    <n v="-64.386739458230096"/>
    <n v="-5.2829334997115618"/>
    <n v="-69.669672957941657"/>
    <n v="0"/>
    <n v="0"/>
    <n v="0"/>
    <n v="-69.669672957941657"/>
  </r>
  <r>
    <x v="9"/>
    <d v="2023-11-03T00:00:00"/>
    <d v="2023-11-24T00:00:00"/>
    <x v="12"/>
    <n v="9"/>
    <n v="11"/>
    <n v="17.534722508656106"/>
    <n v="12.581896396484561"/>
    <n v="138.40086036133016"/>
    <n v="192.88194759521716"/>
    <n v="-54.481087233886996"/>
    <n v="-4.4701744997559381"/>
    <n v="-58.951261733642937"/>
    <n v="0"/>
    <n v="0"/>
    <n v="0"/>
    <n v="-58.951261733642937"/>
  </r>
  <r>
    <x v="10"/>
    <d v="2023-12-06T00:00:00"/>
    <d v="2023-12-25T00:00:00"/>
    <x v="12"/>
    <n v="9"/>
    <n v="7"/>
    <n v="17.534722508656106"/>
    <n v="12.581896396484561"/>
    <n v="88.073274775391923"/>
    <n v="122.74305756059275"/>
    <n v="-34.669782785200823"/>
    <n v="-2.8446564998446875"/>
    <n v="-37.514439285045512"/>
    <n v="0"/>
    <n v="0"/>
    <n v="0"/>
    <n v="-37.514439285045512"/>
  </r>
  <r>
    <x v="11"/>
    <d v="2024-01-03T00:00:00"/>
    <d v="2024-01-24T00:00:00"/>
    <x v="12"/>
    <n v="9"/>
    <n v="8"/>
    <n v="17.534722508656106"/>
    <n v="12.581896396484561"/>
    <n v="100.65517117187649"/>
    <n v="140.27778006924885"/>
    <n v="-39.622608897372359"/>
    <n v="-3.2510359998224998"/>
    <n v="-42.873644897194858"/>
    <n v="0"/>
    <n v="0"/>
    <n v="0"/>
    <n v="-42.873644897194858"/>
  </r>
  <r>
    <x v="0"/>
    <d v="2023-02-03T00:00:00"/>
    <d v="2023-02-24T00:00:00"/>
    <x v="13"/>
    <n v="9"/>
    <n v="21"/>
    <n v="17.534722508656106"/>
    <n v="12.581896396484561"/>
    <n v="264.2198243261758"/>
    <n v="368.22917268177821"/>
    <n v="-104.00934835560241"/>
    <n v="-8.5339694995340629"/>
    <n v="-112.54331785513648"/>
    <n v="0"/>
    <n v="0"/>
    <n v="0"/>
    <n v="-112.54331785513648"/>
  </r>
  <r>
    <x v="1"/>
    <d v="2023-03-03T00:00:00"/>
    <d v="2023-03-24T00:00:00"/>
    <x v="13"/>
    <n v="9"/>
    <n v="21"/>
    <n v="17.534722508656106"/>
    <n v="12.581896396484561"/>
    <n v="264.2198243261758"/>
    <n v="368.22917268177821"/>
    <n v="-104.00934835560241"/>
    <n v="-8.5339694995340629"/>
    <n v="-112.54331785513648"/>
    <n v="0"/>
    <n v="0"/>
    <n v="0"/>
    <n v="-112.54331785513648"/>
  </r>
  <r>
    <x v="2"/>
    <d v="2023-04-05T00:00:00"/>
    <d v="2023-04-24T00:00:00"/>
    <x v="13"/>
    <n v="9"/>
    <n v="19"/>
    <n v="17.534722508656106"/>
    <n v="12.581896396484561"/>
    <n v="239.05603153320666"/>
    <n v="333.159727664466"/>
    <n v="-94.103696131259341"/>
    <n v="-7.7212104995784383"/>
    <n v="-101.82490663083777"/>
    <n v="0"/>
    <n v="0"/>
    <n v="0"/>
    <n v="-101.82490663083777"/>
  </r>
  <r>
    <x v="3"/>
    <d v="2023-05-03T00:00:00"/>
    <d v="2023-05-24T00:00:00"/>
    <x v="13"/>
    <n v="9"/>
    <n v="21"/>
    <n v="17.534722508656106"/>
    <n v="12.581896396484561"/>
    <n v="264.2198243261758"/>
    <n v="368.22917268177821"/>
    <n v="-104.00934835560241"/>
    <n v="-8.5339694995340629"/>
    <n v="-112.54331785513648"/>
    <n v="0"/>
    <n v="0"/>
    <n v="0"/>
    <n v="-112.54331785513648"/>
  </r>
  <r>
    <x v="4"/>
    <d v="2023-06-05T00:00:00"/>
    <d v="2023-06-26T00:00:00"/>
    <x v="13"/>
    <n v="9"/>
    <n v="28"/>
    <n v="17.534722508656106"/>
    <n v="12.581896396484561"/>
    <n v="352.29309910156769"/>
    <n v="490.97223024237098"/>
    <n v="-138.67913114080329"/>
    <n v="-11.37862599937875"/>
    <n v="-150.05775714018205"/>
    <n v="0"/>
    <n v="0"/>
    <n v="0"/>
    <n v="-150.05775714018205"/>
  </r>
  <r>
    <x v="5"/>
    <d v="2023-07-05T00:00:00"/>
    <d v="2023-07-24T00:00:00"/>
    <x v="13"/>
    <n v="9"/>
    <n v="37"/>
    <n v="17.534722508656106"/>
    <n v="12.581896396484561"/>
    <n v="465.53016666992875"/>
    <n v="648.78473282027596"/>
    <n v="-183.25456615034722"/>
    <n v="-15.036041499179062"/>
    <n v="-198.29060764952627"/>
    <n v="0"/>
    <n v="0"/>
    <n v="0"/>
    <n v="-198.29060764952627"/>
  </r>
  <r>
    <x v="6"/>
    <d v="2023-08-03T00:00:00"/>
    <d v="2023-08-24T00:00:00"/>
    <x v="13"/>
    <n v="9"/>
    <n v="38"/>
    <n v="17.534722508656106"/>
    <n v="12.581896396484561"/>
    <n v="478.11206306641333"/>
    <n v="666.31945532893201"/>
    <n v="-188.20739226251868"/>
    <n v="-15.442420999156877"/>
    <n v="-203.64981326167555"/>
    <n v="0"/>
    <n v="0"/>
    <n v="0"/>
    <n v="-203.64981326167555"/>
  </r>
  <r>
    <x v="7"/>
    <d v="2023-09-05T00:00:00"/>
    <d v="2023-09-25T00:00:00"/>
    <x v="13"/>
    <n v="9"/>
    <n v="40"/>
    <n v="17.534722508656106"/>
    <n v="12.581896396484561"/>
    <n v="503.27585585938243"/>
    <n v="701.38890034624421"/>
    <n v="-198.11304448686178"/>
    <n v="-16.255179999112499"/>
    <n v="-214.36822448597428"/>
    <n v="0"/>
    <n v="0"/>
    <n v="0"/>
    <n v="-214.36822448597428"/>
  </r>
  <r>
    <x v="8"/>
    <d v="2023-10-04T00:00:00"/>
    <d v="2023-10-24T00:00:00"/>
    <x v="13"/>
    <n v="9"/>
    <n v="37"/>
    <n v="17.534722508656106"/>
    <n v="12.581896396484561"/>
    <n v="465.53016666992875"/>
    <n v="648.78473282027596"/>
    <n v="-183.25456615034722"/>
    <n v="-15.036041499179062"/>
    <n v="-198.29060764952627"/>
    <n v="0"/>
    <n v="0"/>
    <n v="0"/>
    <n v="-198.29060764952627"/>
  </r>
  <r>
    <x v="9"/>
    <d v="2023-11-03T00:00:00"/>
    <d v="2023-11-24T00:00:00"/>
    <x v="13"/>
    <n v="9"/>
    <n v="30"/>
    <n v="17.534722508656106"/>
    <n v="12.581896396484561"/>
    <n v="377.45689189453685"/>
    <n v="526.04167525968319"/>
    <n v="-148.58478336514634"/>
    <n v="-12.191384999334375"/>
    <n v="-160.77616836448072"/>
    <n v="0"/>
    <n v="0"/>
    <n v="0"/>
    <n v="-160.77616836448072"/>
  </r>
  <r>
    <x v="10"/>
    <d v="2023-12-06T00:00:00"/>
    <d v="2023-12-25T00:00:00"/>
    <x v="13"/>
    <n v="9"/>
    <n v="19"/>
    <n v="17.534722508656106"/>
    <n v="12.581896396484561"/>
    <n v="239.05603153320666"/>
    <n v="333.159727664466"/>
    <n v="-94.103696131259341"/>
    <n v="-7.7212104995784383"/>
    <n v="-101.82490663083777"/>
    <n v="0"/>
    <n v="0"/>
    <n v="0"/>
    <n v="-101.82490663083777"/>
  </r>
  <r>
    <x v="11"/>
    <d v="2024-01-03T00:00:00"/>
    <d v="2024-01-24T00:00:00"/>
    <x v="13"/>
    <n v="9"/>
    <n v="20"/>
    <n v="17.534722508656106"/>
    <n v="12.581896396484561"/>
    <n v="251.63792792969122"/>
    <n v="350.69445017312211"/>
    <n v="-99.056522243430891"/>
    <n v="-8.1275899995562497"/>
    <n v="-107.18411224298714"/>
    <n v="0"/>
    <n v="0"/>
    <n v="0"/>
    <n v="-107.18411224298714"/>
  </r>
  <r>
    <x v="0"/>
    <d v="2023-02-03T00:00:00"/>
    <d v="2023-02-24T00:00:00"/>
    <x v="14"/>
    <n v="9"/>
    <n v="36"/>
    <n v="17.534722508656106"/>
    <n v="12.581896396484561"/>
    <n v="452.94827027344422"/>
    <n v="631.2500103116198"/>
    <n v="-178.30174003817558"/>
    <n v="-14.62966199920125"/>
    <n v="-192.93140203737684"/>
    <n v="0"/>
    <n v="0"/>
    <n v="0"/>
    <n v="-192.93140203737684"/>
  </r>
  <r>
    <x v="1"/>
    <d v="2023-03-03T00:00:00"/>
    <d v="2023-03-24T00:00:00"/>
    <x v="14"/>
    <n v="9"/>
    <n v="32"/>
    <n v="17.534722508656106"/>
    <n v="12.581896396484561"/>
    <n v="402.62068468750596"/>
    <n v="561.11112027699539"/>
    <n v="-158.49043558948944"/>
    <n v="-13.004143999289999"/>
    <n v="-171.49457958877943"/>
    <n v="0"/>
    <n v="0"/>
    <n v="0"/>
    <n v="-171.49457958877943"/>
  </r>
  <r>
    <x v="2"/>
    <d v="2023-04-05T00:00:00"/>
    <d v="2023-04-24T00:00:00"/>
    <x v="14"/>
    <n v="9"/>
    <n v="32"/>
    <n v="17.534722508656106"/>
    <n v="12.581896396484561"/>
    <n v="402.62068468750596"/>
    <n v="561.11112027699539"/>
    <n v="-158.49043558948944"/>
    <n v="-13.004143999289999"/>
    <n v="-171.49457958877943"/>
    <n v="0"/>
    <n v="0"/>
    <n v="0"/>
    <n v="-171.49457958877943"/>
  </r>
  <r>
    <x v="3"/>
    <d v="2023-05-03T00:00:00"/>
    <d v="2023-05-24T00:00:00"/>
    <x v="14"/>
    <n v="9"/>
    <n v="31"/>
    <n v="17.534722508656106"/>
    <n v="12.581896396484561"/>
    <n v="390.03878829102138"/>
    <n v="543.57639776833923"/>
    <n v="-153.53760947731786"/>
    <n v="-12.597764499312188"/>
    <n v="-166.13537397663004"/>
    <n v="0"/>
    <n v="0"/>
    <n v="0"/>
    <n v="-166.13537397663004"/>
  </r>
  <r>
    <x v="4"/>
    <d v="2023-06-05T00:00:00"/>
    <d v="2023-06-26T00:00:00"/>
    <x v="14"/>
    <n v="9"/>
    <n v="38"/>
    <n v="17.534722508656106"/>
    <n v="12.581896396484561"/>
    <n v="478.11206306641333"/>
    <n v="666.31945532893201"/>
    <n v="-188.20739226251868"/>
    <n v="-15.442420999156877"/>
    <n v="-203.64981326167555"/>
    <n v="0"/>
    <n v="0"/>
    <n v="0"/>
    <n v="-203.64981326167555"/>
  </r>
  <r>
    <x v="5"/>
    <d v="2023-07-05T00:00:00"/>
    <d v="2023-07-24T00:00:00"/>
    <x v="14"/>
    <n v="9"/>
    <n v="48"/>
    <n v="17.534722508656106"/>
    <n v="12.581896396484561"/>
    <n v="603.93102703125896"/>
    <n v="841.66668041549315"/>
    <n v="-237.73565338423418"/>
    <n v="-19.506215998935001"/>
    <n v="-257.24186938316916"/>
    <n v="0"/>
    <n v="0"/>
    <n v="0"/>
    <n v="-257.24186938316916"/>
  </r>
  <r>
    <x v="6"/>
    <d v="2023-08-03T00:00:00"/>
    <d v="2023-08-24T00:00:00"/>
    <x v="14"/>
    <n v="9"/>
    <n v="49"/>
    <n v="17.534722508656106"/>
    <n v="12.581896396484561"/>
    <n v="616.51292342774354"/>
    <n v="859.20140292414919"/>
    <n v="-242.68847949640565"/>
    <n v="-19.912595498912811"/>
    <n v="-262.60107499531847"/>
    <n v="0"/>
    <n v="0"/>
    <n v="0"/>
    <n v="-262.60107499531847"/>
  </r>
  <r>
    <x v="7"/>
    <d v="2023-09-05T00:00:00"/>
    <d v="2023-09-25T00:00:00"/>
    <x v="14"/>
    <n v="9"/>
    <n v="50"/>
    <n v="17.534722508656106"/>
    <n v="12.581896396484561"/>
    <n v="629.09481982422801"/>
    <n v="876.73612543280535"/>
    <n v="-247.64130560857734"/>
    <n v="-20.318974998890624"/>
    <n v="-267.96028060746795"/>
    <n v="0"/>
    <n v="0"/>
    <n v="0"/>
    <n v="-267.96028060746795"/>
  </r>
  <r>
    <x v="8"/>
    <d v="2023-10-04T00:00:00"/>
    <d v="2023-10-24T00:00:00"/>
    <x v="14"/>
    <n v="9"/>
    <n v="47"/>
    <n v="17.534722508656106"/>
    <n v="12.581896396484561"/>
    <n v="591.34913063477438"/>
    <n v="824.13195790683699"/>
    <n v="-232.7828272720626"/>
    <n v="-19.099836498957188"/>
    <n v="-251.88266377101979"/>
    <n v="0"/>
    <n v="0"/>
    <n v="0"/>
    <n v="-251.88266377101979"/>
  </r>
  <r>
    <x v="9"/>
    <d v="2023-11-03T00:00:00"/>
    <d v="2023-11-24T00:00:00"/>
    <x v="14"/>
    <n v="9"/>
    <n v="36"/>
    <n v="17.534722508656106"/>
    <n v="12.581896396484561"/>
    <n v="452.94827027344422"/>
    <n v="631.2500103116198"/>
    <n v="-178.30174003817558"/>
    <n v="-14.62966199920125"/>
    <n v="-192.93140203737684"/>
    <n v="0"/>
    <n v="0"/>
    <n v="0"/>
    <n v="-192.93140203737684"/>
  </r>
  <r>
    <x v="10"/>
    <d v="2023-12-06T00:00:00"/>
    <d v="2023-12-25T00:00:00"/>
    <x v="14"/>
    <n v="9"/>
    <n v="26"/>
    <n v="17.534722508656106"/>
    <n v="12.581896396484561"/>
    <n v="327.12930630859859"/>
    <n v="455.90278522505878"/>
    <n v="-128.77347891646019"/>
    <n v="-10.565866999423124"/>
    <n v="-139.33934591588331"/>
    <n v="0"/>
    <n v="0"/>
    <n v="0"/>
    <n v="-139.33934591588331"/>
  </r>
  <r>
    <x v="11"/>
    <d v="2024-01-03T00:00:00"/>
    <d v="2024-01-24T00:00:00"/>
    <x v="14"/>
    <n v="9"/>
    <n v="31"/>
    <n v="17.534722508656106"/>
    <n v="12.581896396484561"/>
    <n v="390.03878829102138"/>
    <n v="543.57639776833923"/>
    <n v="-153.53760947731786"/>
    <n v="-12.597764499312188"/>
    <n v="-166.13537397663004"/>
    <n v="0"/>
    <n v="0"/>
    <n v="0"/>
    <n v="-166.13537397663004"/>
  </r>
  <r>
    <x v="0"/>
    <d v="2023-02-03T00:00:00"/>
    <d v="2023-02-24T00:00:00"/>
    <x v="15"/>
    <n v="9"/>
    <n v="104"/>
    <n v="17.534722508656106"/>
    <n v="12.581896396484561"/>
    <n v="1308.5172252343943"/>
    <n v="1823.6111409002351"/>
    <n v="-515.09391566584077"/>
    <n v="-42.263467997692494"/>
    <n v="-557.35738366353326"/>
    <n v="0"/>
    <n v="0"/>
    <n v="0"/>
    <n v="-557.35738366353326"/>
  </r>
  <r>
    <x v="1"/>
    <d v="2023-03-03T00:00:00"/>
    <d v="2023-03-24T00:00:00"/>
    <x v="15"/>
    <n v="9"/>
    <n v="107"/>
    <n v="17.534722508656106"/>
    <n v="12.581896396484561"/>
    <n v="1346.2629144238481"/>
    <n v="1876.2153084262034"/>
    <n v="-529.95239400235528"/>
    <n v="-43.482606497625937"/>
    <n v="-573.43500049998124"/>
    <n v="0"/>
    <n v="0"/>
    <n v="0"/>
    <n v="-573.43500049998124"/>
  </r>
  <r>
    <x v="2"/>
    <d v="2023-04-05T00:00:00"/>
    <d v="2023-04-24T00:00:00"/>
    <x v="15"/>
    <n v="9"/>
    <n v="103"/>
    <n v="17.534722508656106"/>
    <n v="12.581896396484561"/>
    <n v="1295.9353288379098"/>
    <n v="1806.076418391579"/>
    <n v="-510.14108955366919"/>
    <n v="-41.857088497714692"/>
    <n v="-551.99817805138389"/>
    <n v="0"/>
    <n v="0"/>
    <n v="0"/>
    <n v="-551.99817805138389"/>
  </r>
  <r>
    <x v="3"/>
    <d v="2023-05-03T00:00:00"/>
    <d v="2023-05-24T00:00:00"/>
    <x v="15"/>
    <n v="9"/>
    <n v="98"/>
    <n v="17.534722508656106"/>
    <n v="12.581896396484561"/>
    <n v="1233.0258468554871"/>
    <n v="1718.4028058482984"/>
    <n v="-485.3769589928113"/>
    <n v="-39.825190997825622"/>
    <n v="-525.20214999063694"/>
    <n v="0"/>
    <n v="0"/>
    <n v="0"/>
    <n v="-525.20214999063694"/>
  </r>
  <r>
    <x v="4"/>
    <d v="2023-06-05T00:00:00"/>
    <d v="2023-06-26T00:00:00"/>
    <x v="15"/>
    <n v="9"/>
    <n v="105"/>
    <n v="17.534722508656106"/>
    <n v="12.581896396484561"/>
    <n v="1321.0991216308789"/>
    <n v="1841.145863408891"/>
    <n v="-520.04674177801212"/>
    <n v="-42.669847497670311"/>
    <n v="-562.7165892756824"/>
    <n v="0"/>
    <n v="0"/>
    <n v="0"/>
    <n v="-562.7165892756824"/>
  </r>
  <r>
    <x v="5"/>
    <d v="2023-07-05T00:00:00"/>
    <d v="2023-07-24T00:00:00"/>
    <x v="15"/>
    <n v="9"/>
    <n v="115"/>
    <n v="17.534722508656106"/>
    <n v="12.581896396484561"/>
    <n v="1446.9180855957245"/>
    <n v="2016.4930884954522"/>
    <n v="-569.57500289972768"/>
    <n v="-46.733642497448436"/>
    <n v="-616.30864539717606"/>
    <n v="0"/>
    <n v="0"/>
    <n v="0"/>
    <n v="-616.30864539717606"/>
  </r>
  <r>
    <x v="6"/>
    <d v="2023-08-03T00:00:00"/>
    <d v="2023-08-24T00:00:00"/>
    <x v="15"/>
    <n v="9"/>
    <n v="110"/>
    <n v="17.534722508656106"/>
    <n v="12.581896396484561"/>
    <n v="1384.0086036133018"/>
    <n v="1928.8194759521716"/>
    <n v="-544.81087233886979"/>
    <n v="-44.701744997559381"/>
    <n v="-589.51261733642912"/>
    <n v="0"/>
    <n v="0"/>
    <n v="0"/>
    <n v="-589.51261733642912"/>
  </r>
  <r>
    <x v="7"/>
    <d v="2023-09-05T00:00:00"/>
    <d v="2023-09-25T00:00:00"/>
    <x v="15"/>
    <n v="9"/>
    <n v="109"/>
    <n v="17.534722508656106"/>
    <n v="12.581896396484561"/>
    <n v="1371.4267072168172"/>
    <n v="1911.2847534435155"/>
    <n v="-539.85804622669821"/>
    <n v="-44.295365497581564"/>
    <n v="-584.15341172427975"/>
    <n v="0"/>
    <n v="0"/>
    <n v="0"/>
    <n v="-584.15341172427975"/>
  </r>
  <r>
    <x v="8"/>
    <d v="2023-10-04T00:00:00"/>
    <d v="2023-10-24T00:00:00"/>
    <x v="15"/>
    <n v="9"/>
    <n v="112"/>
    <n v="17.534722508656106"/>
    <n v="12.581896396484561"/>
    <n v="1409.1723964062708"/>
    <n v="1963.8889209694839"/>
    <n v="-554.71652456321317"/>
    <n v="-45.514503997515"/>
    <n v="-600.23102856072819"/>
    <n v="0"/>
    <n v="0"/>
    <n v="0"/>
    <n v="-600.23102856072819"/>
  </r>
  <r>
    <x v="9"/>
    <d v="2023-11-03T00:00:00"/>
    <d v="2023-11-24T00:00:00"/>
    <x v="15"/>
    <n v="9"/>
    <n v="107"/>
    <n v="17.534722508656106"/>
    <n v="12.581896396484561"/>
    <n v="1346.2629144238481"/>
    <n v="1876.2153084262034"/>
    <n v="-529.95239400235528"/>
    <n v="-43.482606497625937"/>
    <n v="-573.43500049998124"/>
    <n v="0"/>
    <n v="0"/>
    <n v="0"/>
    <n v="-573.43500049998124"/>
  </r>
  <r>
    <x v="10"/>
    <d v="2023-12-06T00:00:00"/>
    <d v="2023-12-25T00:00:00"/>
    <x v="15"/>
    <n v="9"/>
    <n v="104"/>
    <n v="17.534722508656106"/>
    <n v="12.581896396484561"/>
    <n v="1308.5172252343943"/>
    <n v="1823.6111409002351"/>
    <n v="-515.09391566584077"/>
    <n v="-42.263467997692494"/>
    <n v="-557.35738366353326"/>
    <n v="0"/>
    <n v="0"/>
    <n v="0"/>
    <n v="-557.35738366353326"/>
  </r>
  <r>
    <x v="11"/>
    <d v="2024-01-03T00:00:00"/>
    <d v="2024-01-24T00:00:00"/>
    <x v="15"/>
    <n v="9"/>
    <n v="101"/>
    <n v="17.534722508656106"/>
    <n v="12.581896396484561"/>
    <n v="1270.7715360449406"/>
    <n v="1771.0069733742666"/>
    <n v="-500.23543732932603"/>
    <n v="-41.044329497759065"/>
    <n v="-541.27976682708504"/>
    <n v="0"/>
    <n v="0"/>
    <n v="0"/>
    <n v="-541.2797668270850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2" cacheId="66" dataOnRows="1" applyNumberFormats="0" applyBorderFormats="0" applyFontFormats="0" applyPatternFormats="0" applyAlignmentFormats="0" applyWidthHeightFormats="1" dataCaption="Data" updatedVersion="8" minRefreshableVersion="3" asteriskTotals="1" showMemberPropertyTips="0" useAutoFormatting="1" itemPrintTitles="1" createdVersion="6" indent="0" compact="0" compactData="0" gridDropZones="1">
  <location ref="A3:O123" firstHeaderRow="1" firstDataRow="2" firstDataCol="2"/>
  <pivotFields count="17">
    <pivotField axis="axisCol" compact="0" numFmtId="17" outline="0" subtotalTop="0" showAll="0" includeNewItemsInFilter="1">
      <items count="169">
        <item m="1" x="69"/>
        <item m="1" x="93"/>
        <item m="1" x="117"/>
        <item m="1" x="141"/>
        <item m="1" x="165"/>
        <item m="1" x="45"/>
        <item m="1" x="80"/>
        <item m="1" x="104"/>
        <item m="1" x="128"/>
        <item m="1" x="152"/>
        <item m="1" x="32"/>
        <item m="1" x="56"/>
        <item m="1" x="70"/>
        <item m="1" x="94"/>
        <item m="1" x="118"/>
        <item m="1" x="142"/>
        <item m="1" x="166"/>
        <item m="1" x="46"/>
        <item m="1" x="82"/>
        <item m="1" x="106"/>
        <item m="1" x="130"/>
        <item m="1" x="154"/>
        <item m="1" x="34"/>
        <item m="1" x="58"/>
        <item m="1" x="71"/>
        <item m="1" x="95"/>
        <item m="1" x="119"/>
        <item m="1" x="143"/>
        <item m="1" x="167"/>
        <item m="1" x="47"/>
        <item m="1" x="83"/>
        <item m="1" x="107"/>
        <item m="1" x="131"/>
        <item m="1" x="155"/>
        <item m="1" x="35"/>
        <item m="1" x="59"/>
        <item m="1" x="72"/>
        <item m="1" x="96"/>
        <item m="1" x="120"/>
        <item m="1" x="144"/>
        <item m="1" x="24"/>
        <item m="1" x="48"/>
        <item m="1" x="84"/>
        <item m="1" x="108"/>
        <item m="1" x="132"/>
        <item m="1" x="156"/>
        <item m="1" x="36"/>
        <item m="1" x="60"/>
        <item m="1" x="73"/>
        <item m="1" x="97"/>
        <item m="1" x="121"/>
        <item m="1" x="145"/>
        <item m="1" x="25"/>
        <item m="1" x="49"/>
        <item m="1" x="85"/>
        <item m="1" x="109"/>
        <item m="1" x="133"/>
        <item m="1" x="157"/>
        <item m="1" x="37"/>
        <item m="1" x="61"/>
        <item m="1" x="74"/>
        <item m="1" x="98"/>
        <item m="1" x="122"/>
        <item m="1" x="146"/>
        <item m="1" x="26"/>
        <item m="1" x="50"/>
        <item m="1" x="86"/>
        <item m="1" x="110"/>
        <item m="1" x="134"/>
        <item m="1" x="158"/>
        <item m="1" x="38"/>
        <item m="1" x="62"/>
        <item m="1" x="75"/>
        <item m="1" x="99"/>
        <item m="1" x="123"/>
        <item m="1" x="147"/>
        <item m="1" x="27"/>
        <item m="1" x="51"/>
        <item m="1" x="87"/>
        <item m="1" x="111"/>
        <item m="1" x="135"/>
        <item m="1" x="159"/>
        <item m="1" x="39"/>
        <item m="1" x="63"/>
        <item m="1" x="76"/>
        <item m="1" x="100"/>
        <item m="1" x="124"/>
        <item m="1" x="148"/>
        <item m="1" x="28"/>
        <item m="1" x="52"/>
        <item m="1" x="88"/>
        <item m="1" x="112"/>
        <item m="1" x="136"/>
        <item m="1" x="160"/>
        <item m="1" x="40"/>
        <item m="1" x="64"/>
        <item m="1" x="77"/>
        <item m="1" x="101"/>
        <item m="1" x="125"/>
        <item m="1" x="149"/>
        <item m="1" x="29"/>
        <item m="1" x="53"/>
        <item m="1" x="89"/>
        <item m="1" x="113"/>
        <item m="1" x="137"/>
        <item m="1" x="161"/>
        <item m="1" x="41"/>
        <item m="1" x="65"/>
        <item m="1" x="78"/>
        <item m="1" x="102"/>
        <item m="1" x="126"/>
        <item m="1" x="150"/>
        <item m="1" x="30"/>
        <item m="1" x="54"/>
        <item m="1" x="90"/>
        <item m="1" x="114"/>
        <item m="1" x="138"/>
        <item m="1" x="162"/>
        <item m="1" x="42"/>
        <item m="1" x="66"/>
        <item m="1" x="79"/>
        <item m="1" x="103"/>
        <item m="1" x="127"/>
        <item m="1" x="151"/>
        <item m="1" x="31"/>
        <item m="1" x="55"/>
        <item m="1" x="91"/>
        <item m="1" x="115"/>
        <item m="1" x="139"/>
        <item m="1" x="163"/>
        <item m="1" x="43"/>
        <item m="1" x="67"/>
        <item m="1" x="81"/>
        <item m="1" x="105"/>
        <item m="1" x="129"/>
        <item m="1" x="153"/>
        <item m="1" x="33"/>
        <item m="1" x="57"/>
        <item m="1" x="92"/>
        <item m="1" x="116"/>
        <item m="1" x="140"/>
        <item m="1" x="164"/>
        <item m="1" x="44"/>
        <item m="1" x="68"/>
        <item m="1" x="12"/>
        <item m="1" x="13"/>
        <item m="1" x="14"/>
        <item m="1" x="15"/>
        <item m="1" x="16"/>
        <item m="1" x="17"/>
        <item m="1" x="18"/>
        <item m="1" x="19"/>
        <item m="1" x="20"/>
        <item m="1" x="21"/>
        <item m="1" x="22"/>
        <item m="1" x="2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numFmtId="14" outline="0" subtotalTop="0" showAll="0" includeNewItemsInFilter="1"/>
    <pivotField compact="0" numFmtId="14" outline="0" subtotalTop="0" showAll="0" includeNewItemsInFilter="1"/>
    <pivotField axis="axisRow" compact="0" outline="0" subtotalTop="0" showAll="0" includeNewItemsInFilter="1">
      <items count="23">
        <item x="3"/>
        <item m="1" x="16"/>
        <item x="15"/>
        <item x="8"/>
        <item x="9"/>
        <item m="1" x="17"/>
        <item x="10"/>
        <item m="1" x="18"/>
        <item x="7"/>
        <item x="6"/>
        <item m="1" x="20"/>
        <item x="0"/>
        <item x="1"/>
        <item m="1" x="19"/>
        <item x="5"/>
        <item m="1" x="21"/>
        <item x="11"/>
        <item x="12"/>
        <item x="13"/>
        <item x="14"/>
        <item x="2"/>
        <item x="4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numFmtId="164" outline="0" subtotalTop="0" showAll="0" includeNewItemsInFilter="1"/>
    <pivotField compact="0" numFmtId="164" outline="0" subtotalTop="0" showAll="0" includeNewItemsInFilter="1"/>
    <pivotField dataField="1" compact="0" numFmtId="164" outline="0" subtotalTop="0" showAll="0" includeNewItemsInFilter="1"/>
    <pivotField dataField="1" compact="0" numFmtId="164" outline="0" subtotalTop="0" showAll="0" includeNewItemsInFilter="1"/>
    <pivotField dataField="1" compact="0" numFmtId="164" outline="0" subtotalTop="0" showAll="0" includeNewItemsInFilter="1"/>
    <pivotField dataField="1" compact="0" numFmtId="164" outline="0" subtotalTop="0" showAll="0" includeNewItemsInFilter="1"/>
    <pivotField compact="0" numFmtId="164" outline="0" showAll="0" defaultSubtotal="0"/>
    <pivotField compact="0" numFmtId="164" outline="0" subtotalTop="0" showAll="0" includeNewItemsInFilter="1" defaultSubtotal="0"/>
    <pivotField dataField="1" compact="0" numFmtId="164" outline="0" subtotalTop="0" showAll="0" includeNewItemsInFilter="1" defaultSubtotal="0"/>
    <pivotField dataField="1" compact="0" numFmtId="164" outline="0" subtotalTop="0" showAll="0" includeNewItemsInFilter="1" defaultSubtotal="0"/>
    <pivotField dataField="1" compact="0" numFmtId="164" outline="0" subtotalTop="0" showAll="0" includeNewItemsInFilter="1"/>
  </pivotFields>
  <rowFields count="2">
    <field x="3"/>
    <field x="-2"/>
  </rowFields>
  <rowItems count="119">
    <i>
      <x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3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4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6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8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9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1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4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6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7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8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9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20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21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t="grand">
      <x/>
    </i>
    <i t="grand" i="1">
      <x/>
    </i>
    <i t="grand" i="2">
      <x/>
    </i>
    <i t="grand" i="3">
      <x/>
    </i>
    <i t="grand" i="4">
      <x/>
    </i>
    <i t="grand" i="5">
      <x/>
    </i>
    <i t="grand" i="6">
      <x/>
    </i>
  </rowItems>
  <colFields count="1">
    <field x="0"/>
  </colFields>
  <colItems count="13"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 t="grand">
      <x/>
    </i>
  </colItems>
  <dataFields count="7">
    <dataField name="Sum of True-Up Charge" fld="8" baseField="0" baseItem="0"/>
    <dataField name="Sum of True-Up w/o Interest" fld="10" baseField="0" baseItem="0"/>
    <dataField name="Sum of Interest" fld="11" baseField="0" baseItem="0"/>
    <dataField name="Sum of Total True-up" fld="16" baseField="0" baseItem="0"/>
    <dataField name="Sum of Invoiced*** Charge (proj.)" fld="9" baseField="0" baseItem="0"/>
    <dataField name="Sum of Tax True Up Billing" fld="14" baseField="0" baseItem="0"/>
    <dataField name="Sum of Tax True Up" fld="15" baseField="0" baseItem="0"/>
  </dataFields>
  <formats count="171">
    <format dxfId="170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0"/>
          </reference>
        </references>
      </pivotArea>
    </format>
    <format dxfId="169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0"/>
          </reference>
        </references>
      </pivotArea>
    </format>
    <format dxfId="168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"/>
          </reference>
        </references>
      </pivotArea>
    </format>
    <format dxfId="167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2"/>
          </reference>
        </references>
      </pivotArea>
    </format>
    <format dxfId="166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3"/>
          </reference>
        </references>
      </pivotArea>
    </format>
    <format dxfId="165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4"/>
          </reference>
        </references>
      </pivotArea>
    </format>
    <format dxfId="164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5"/>
          </reference>
        </references>
      </pivotArea>
    </format>
    <format dxfId="163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6"/>
          </reference>
        </references>
      </pivotArea>
    </format>
    <format dxfId="162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7"/>
          </reference>
        </references>
      </pivotArea>
    </format>
    <format dxfId="161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8"/>
          </reference>
        </references>
      </pivotArea>
    </format>
    <format dxfId="160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9"/>
          </reference>
        </references>
      </pivotArea>
    </format>
    <format dxfId="159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0"/>
          </reference>
        </references>
      </pivotArea>
    </format>
    <format dxfId="158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1"/>
          </reference>
        </references>
      </pivotArea>
    </format>
    <format dxfId="157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2"/>
          </reference>
        </references>
      </pivotArea>
    </format>
    <format dxfId="156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3"/>
          </reference>
        </references>
      </pivotArea>
    </format>
    <format dxfId="155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4"/>
          </reference>
        </references>
      </pivotArea>
    </format>
    <format dxfId="154">
      <pivotArea field="3" grandRow="1" outline="0" axis="axisRow" fieldPosition="0">
        <references count="1">
          <reference field="4294967294" count="3" selected="0">
            <x v="1"/>
            <x v="2"/>
            <x v="3"/>
          </reference>
        </references>
      </pivotArea>
    </format>
    <format dxfId="153">
      <pivotArea outline="0" fieldPosition="0">
        <references count="3">
          <reference field="4294967294" count="1" selected="0">
            <x v="2"/>
          </reference>
          <reference field="0" count="1" selected="0">
            <x v="60"/>
          </reference>
          <reference field="3" count="1" selected="0">
            <x v="20"/>
          </reference>
        </references>
      </pivotArea>
    </format>
    <format dxfId="152">
      <pivotArea outline="0" fieldPosition="0">
        <references count="3">
          <reference field="4294967294" count="1" selected="0">
            <x v="3"/>
          </reference>
          <reference field="0" count="1" selected="0">
            <x v="60"/>
          </reference>
          <reference field="3" count="1" selected="0">
            <x v="20"/>
          </reference>
        </references>
      </pivotArea>
    </format>
    <format dxfId="151">
      <pivotArea grandRow="1" grandCol="1" outline="0" fieldPosition="0">
        <references count="1">
          <reference field="4294967294" count="5" selected="0">
            <x v="0"/>
            <x v="1"/>
            <x v="2"/>
            <x v="3"/>
            <x v="4"/>
          </reference>
        </references>
      </pivotArea>
    </format>
    <format dxfId="150">
      <pivotArea outline="0" fieldPosition="0"/>
    </format>
    <format dxfId="149">
      <pivotArea type="all" dataOnly="0" outline="0" fieldPosition="0"/>
    </format>
    <format dxfId="148">
      <pivotArea outline="0" fieldPosition="0"/>
    </format>
    <format dxfId="147">
      <pivotArea type="origin" dataOnly="0" labelOnly="1" outline="0" fieldPosition="0"/>
    </format>
    <format dxfId="146">
      <pivotArea field="0" type="button" dataOnly="0" labelOnly="1" outline="0" axis="axisCol" fieldPosition="0"/>
    </format>
    <format dxfId="145">
      <pivotArea type="topRight" dataOnly="0" labelOnly="1" outline="0" fieldPosition="0"/>
    </format>
    <format dxfId="144">
      <pivotArea field="3" type="button" dataOnly="0" labelOnly="1" outline="0" axis="axisRow" fieldPosition="0"/>
    </format>
    <format dxfId="143">
      <pivotArea field="-2" type="button" dataOnly="0" labelOnly="1" outline="0" axis="axisRow" fieldPosition="1"/>
    </format>
    <format dxfId="142">
      <pivotArea dataOnly="0" labelOnly="1" outline="0" fieldPosition="0">
        <references count="1">
          <reference field="3" count="0"/>
        </references>
      </pivotArea>
    </format>
    <format dxfId="141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40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39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38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37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36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35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34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33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32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31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30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29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28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27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26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25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24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23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22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21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20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19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18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17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16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15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14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13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12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11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10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09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08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07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06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05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04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03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02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01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00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99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98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97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96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95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94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93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92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0"/>
          </reference>
        </references>
      </pivotArea>
    </format>
    <format dxfId="91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"/>
          </reference>
        </references>
      </pivotArea>
    </format>
    <format dxfId="90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3"/>
          </reference>
        </references>
      </pivotArea>
    </format>
    <format dxfId="89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4"/>
          </reference>
        </references>
      </pivotArea>
    </format>
    <format dxfId="88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6"/>
          </reference>
        </references>
      </pivotArea>
    </format>
    <format dxfId="87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8"/>
          </reference>
        </references>
      </pivotArea>
    </format>
    <format dxfId="86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9"/>
          </reference>
        </references>
      </pivotArea>
    </format>
    <format dxfId="85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1"/>
          </reference>
        </references>
      </pivotArea>
    </format>
    <format dxfId="84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2"/>
          </reference>
        </references>
      </pivotArea>
    </format>
    <format dxfId="83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4"/>
          </reference>
        </references>
      </pivotArea>
    </format>
    <format dxfId="82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6"/>
          </reference>
        </references>
      </pivotArea>
    </format>
    <format dxfId="81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7"/>
          </reference>
        </references>
      </pivotArea>
    </format>
    <format dxfId="80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8"/>
          </reference>
        </references>
      </pivotArea>
    </format>
    <format dxfId="79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9"/>
          </reference>
        </references>
      </pivotArea>
    </format>
    <format dxfId="78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0"/>
          </reference>
        </references>
      </pivotArea>
    </format>
    <format dxfId="77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1"/>
          </reference>
        </references>
      </pivotArea>
    </format>
    <format dxfId="76">
      <pivotArea dataOnly="0" labelOnly="1" outline="0" fieldPosition="0">
        <references count="1">
          <reference field="0" count="0"/>
        </references>
      </pivotArea>
    </format>
    <format dxfId="75">
      <pivotArea dataOnly="0" labelOnly="1" grandCol="1" outline="0" fieldPosition="0"/>
    </format>
    <format dxfId="74">
      <pivotArea type="all" dataOnly="0" outline="0" fieldPosition="0"/>
    </format>
    <format dxfId="73">
      <pivotArea outline="0" fieldPosition="0"/>
    </format>
    <format dxfId="72">
      <pivotArea type="origin" dataOnly="0" labelOnly="1" outline="0" fieldPosition="0"/>
    </format>
    <format dxfId="71">
      <pivotArea field="0" type="button" dataOnly="0" labelOnly="1" outline="0" axis="axisCol" fieldPosition="0"/>
    </format>
    <format dxfId="70">
      <pivotArea type="topRight" dataOnly="0" labelOnly="1" outline="0" fieldPosition="0"/>
    </format>
    <format dxfId="69">
      <pivotArea field="3" type="button" dataOnly="0" labelOnly="1" outline="0" axis="axisRow" fieldPosition="0"/>
    </format>
    <format dxfId="68">
      <pivotArea field="-2" type="button" dataOnly="0" labelOnly="1" outline="0" axis="axisRow" fieldPosition="1"/>
    </format>
    <format dxfId="67">
      <pivotArea dataOnly="0" labelOnly="1" outline="0" fieldPosition="0">
        <references count="1">
          <reference field="3" count="0"/>
        </references>
      </pivotArea>
    </format>
    <format dxfId="66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65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64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63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62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61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60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59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58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57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56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55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54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53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52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51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50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49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48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47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46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45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44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43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42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41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40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39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38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37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36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35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34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33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32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31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30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29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28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27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26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25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24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23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22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21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20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9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8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7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0"/>
          </reference>
        </references>
      </pivotArea>
    </format>
    <format dxfId="16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"/>
          </reference>
        </references>
      </pivotArea>
    </format>
    <format dxfId="15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3"/>
          </reference>
        </references>
      </pivotArea>
    </format>
    <format dxfId="14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4"/>
          </reference>
        </references>
      </pivotArea>
    </format>
    <format dxfId="13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6"/>
          </reference>
        </references>
      </pivotArea>
    </format>
    <format dxfId="12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8"/>
          </reference>
        </references>
      </pivotArea>
    </format>
    <format dxfId="11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9"/>
          </reference>
        </references>
      </pivotArea>
    </format>
    <format dxfId="10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1"/>
          </reference>
        </references>
      </pivotArea>
    </format>
    <format dxfId="9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2"/>
          </reference>
        </references>
      </pivotArea>
    </format>
    <format dxfId="8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4"/>
          </reference>
        </references>
      </pivotArea>
    </format>
    <format dxfId="7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6"/>
          </reference>
        </references>
      </pivotArea>
    </format>
    <format dxfId="6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7"/>
          </reference>
        </references>
      </pivotArea>
    </format>
    <format dxfId="5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8"/>
          </reference>
        </references>
      </pivotArea>
    </format>
    <format dxfId="4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9"/>
          </reference>
        </references>
      </pivotArea>
    </format>
    <format dxfId="3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0"/>
          </reference>
        </references>
      </pivotArea>
    </format>
    <format dxfId="2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1"/>
          </reference>
        </references>
      </pivotArea>
    </format>
    <format dxfId="1">
      <pivotArea dataOnly="0" labelOnly="1" outline="0" fieldPosition="0">
        <references count="1">
          <reference field="0" count="0"/>
        </references>
      </pivotArea>
    </format>
    <format dxfId="0">
      <pivotArea dataOnly="0" labelOnly="1" grandCol="1" outline="0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17"/>
  <sheetViews>
    <sheetView workbookViewId="0">
      <selection activeCell="R18" sqref="A1:R18"/>
    </sheetView>
  </sheetViews>
  <sheetFormatPr defaultColWidth="8.7265625" defaultRowHeight="12.5" x14ac:dyDescent="0.25"/>
  <cols>
    <col min="1" max="16384" width="8.7265625" style="1"/>
  </cols>
  <sheetData>
    <row r="1" spans="1:2" x14ac:dyDescent="0.25">
      <c r="A1" s="1" t="s">
        <v>62</v>
      </c>
    </row>
    <row r="3" spans="1:2" x14ac:dyDescent="0.25">
      <c r="A3" s="2">
        <v>1</v>
      </c>
      <c r="B3" s="3" t="s">
        <v>64</v>
      </c>
    </row>
    <row r="4" spans="1:2" ht="13" x14ac:dyDescent="0.3">
      <c r="A4" s="2">
        <v>2</v>
      </c>
      <c r="B4" s="3" t="s">
        <v>63</v>
      </c>
    </row>
    <row r="5" spans="1:2" ht="13" x14ac:dyDescent="0.3">
      <c r="A5" s="2">
        <v>3</v>
      </c>
      <c r="B5" s="3" t="s">
        <v>65</v>
      </c>
    </row>
    <row r="6" spans="1:2" ht="13" x14ac:dyDescent="0.3">
      <c r="A6" s="2">
        <v>4</v>
      </c>
      <c r="B6" s="4" t="s">
        <v>79</v>
      </c>
    </row>
    <row r="7" spans="1:2" x14ac:dyDescent="0.25">
      <c r="A7" s="2">
        <v>5</v>
      </c>
      <c r="B7" s="3" t="s">
        <v>66</v>
      </c>
    </row>
    <row r="8" spans="1:2" x14ac:dyDescent="0.25">
      <c r="A8" s="2">
        <v>6</v>
      </c>
      <c r="B8" s="3" t="s">
        <v>67</v>
      </c>
    </row>
    <row r="9" spans="1:2" x14ac:dyDescent="0.25">
      <c r="A9" s="2">
        <v>7</v>
      </c>
      <c r="B9" s="5" t="s">
        <v>68</v>
      </c>
    </row>
    <row r="10" spans="1:2" ht="13" x14ac:dyDescent="0.3">
      <c r="A10" s="2">
        <v>8</v>
      </c>
      <c r="B10" s="3" t="s">
        <v>71</v>
      </c>
    </row>
    <row r="11" spans="1:2" x14ac:dyDescent="0.25">
      <c r="A11" s="2"/>
      <c r="B11" s="3" t="s">
        <v>72</v>
      </c>
    </row>
    <row r="12" spans="1:2" x14ac:dyDescent="0.25">
      <c r="A12" s="2"/>
      <c r="B12" s="5" t="s">
        <v>73</v>
      </c>
    </row>
    <row r="13" spans="1:2" x14ac:dyDescent="0.25">
      <c r="A13" s="2"/>
      <c r="B13" s="5" t="s">
        <v>74</v>
      </c>
    </row>
    <row r="14" spans="1:2" x14ac:dyDescent="0.25">
      <c r="A14" s="2">
        <v>9</v>
      </c>
      <c r="B14" s="3" t="s">
        <v>75</v>
      </c>
    </row>
    <row r="15" spans="1:2" x14ac:dyDescent="0.25">
      <c r="A15" s="2">
        <v>10</v>
      </c>
      <c r="B15" s="3" t="s">
        <v>77</v>
      </c>
    </row>
    <row r="16" spans="1:2" x14ac:dyDescent="0.25">
      <c r="A16" s="2">
        <v>11</v>
      </c>
      <c r="B16" s="3" t="s">
        <v>78</v>
      </c>
    </row>
    <row r="17" spans="1:1" x14ac:dyDescent="0.25">
      <c r="A17" s="2"/>
    </row>
  </sheetData>
  <phoneticPr fontId="6" type="noConversion"/>
  <pageMargins left="0.75" right="0.75" top="1" bottom="1" header="0.5" footer="0.5"/>
  <pageSetup scale="7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Q40"/>
  <sheetViews>
    <sheetView tabSelected="1" topLeftCell="A10" zoomScale="85" zoomScaleNormal="85" zoomScaleSheetLayoutView="100" workbookViewId="0">
      <selection activeCell="G28" sqref="G28"/>
    </sheetView>
  </sheetViews>
  <sheetFormatPr defaultColWidth="33.26953125" defaultRowHeight="12.5" x14ac:dyDescent="0.25"/>
  <cols>
    <col min="1" max="1" width="9.1796875" style="1" customWidth="1"/>
    <col min="2" max="2" width="14" style="1" customWidth="1"/>
    <col min="3" max="3" width="21.81640625" style="1" customWidth="1"/>
    <col min="4" max="4" width="15.54296875" style="1" customWidth="1"/>
    <col min="5" max="14" width="14" style="1" customWidth="1"/>
    <col min="15" max="15" width="15" style="1" customWidth="1"/>
    <col min="16" max="108" width="31.7265625" style="1" customWidth="1"/>
    <col min="109" max="109" width="11.453125" style="1" customWidth="1"/>
    <col min="110" max="16384" width="33.26953125" style="1"/>
  </cols>
  <sheetData>
    <row r="1" spans="2:17" ht="13" x14ac:dyDescent="0.3">
      <c r="C1" s="234" t="str">
        <f>+Transactions!B1</f>
        <v>AEPTCo Formula Rate -- FERC Docket ER18-195</v>
      </c>
      <c r="D1" s="234"/>
      <c r="E1" s="234"/>
      <c r="F1" s="234"/>
      <c r="G1" s="234"/>
      <c r="H1" s="234"/>
      <c r="I1" s="234"/>
      <c r="J1" s="6">
        <v>2023</v>
      </c>
    </row>
    <row r="2" spans="2:17" ht="13" x14ac:dyDescent="0.3">
      <c r="C2" s="234" t="s">
        <v>95</v>
      </c>
      <c r="D2" s="234"/>
      <c r="E2" s="234"/>
      <c r="F2" s="234"/>
      <c r="G2" s="234"/>
      <c r="H2" s="234"/>
      <c r="I2" s="234"/>
    </row>
    <row r="3" spans="2:17" ht="13" x14ac:dyDescent="0.3">
      <c r="C3" s="234" t="str">
        <f>"for period 01/01/"&amp;F8&amp;" - 12/31/"&amp;F8</f>
        <v>for period 01/01/2023 - 12/31/2023</v>
      </c>
      <c r="D3" s="234"/>
      <c r="E3" s="234"/>
      <c r="F3" s="234"/>
      <c r="G3" s="234"/>
      <c r="H3" s="234"/>
      <c r="I3" s="234"/>
    </row>
    <row r="4" spans="2:17" ht="13" x14ac:dyDescent="0.3">
      <c r="C4" s="234" t="s">
        <v>93</v>
      </c>
      <c r="D4" s="234"/>
      <c r="E4" s="234"/>
      <c r="F4" s="234"/>
      <c r="G4" s="234"/>
      <c r="H4" s="234"/>
      <c r="I4" s="234"/>
    </row>
    <row r="5" spans="2:17" x14ac:dyDescent="0.25">
      <c r="C5" s="7" t="str">
        <f>"Prepared:  May 24_, "&amp;J1+1&amp;""</f>
        <v>Prepared:  May 24_, 2024</v>
      </c>
      <c r="D5" s="8"/>
    </row>
    <row r="6" spans="2:17" x14ac:dyDescent="0.25">
      <c r="C6" s="9"/>
    </row>
    <row r="7" spans="2:17" ht="13" x14ac:dyDescent="0.3">
      <c r="C7" s="10"/>
    </row>
    <row r="8" spans="2:17" ht="27.75" customHeight="1" thickBot="1" x14ac:dyDescent="0.3">
      <c r="F8" s="11">
        <v>2023</v>
      </c>
    </row>
    <row r="9" spans="2:17" ht="20.25" customHeight="1" x14ac:dyDescent="0.3">
      <c r="E9" s="12" t="s">
        <v>92</v>
      </c>
      <c r="F9" s="13"/>
      <c r="G9" s="14"/>
      <c r="H9" s="15"/>
      <c r="J9" s="2"/>
    </row>
    <row r="10" spans="2:17" ht="42" customHeight="1" thickBot="1" x14ac:dyDescent="0.3">
      <c r="B10" s="16"/>
      <c r="E10" s="17" t="str">
        <f>"(per "&amp;$F8&amp;" Projections "&amp;$F8&amp;")"</f>
        <v>(per 2023 Projections 2023)</v>
      </c>
      <c r="F10" s="18" t="str">
        <f>"(per "&amp;F8&amp;" Update of May "&amp;F8+1&amp;")"</f>
        <v>(per 2023 Update of May 2024)</v>
      </c>
      <c r="G10" s="19"/>
      <c r="H10" s="20"/>
    </row>
    <row r="11" spans="2:17" ht="21.75" customHeight="1" x14ac:dyDescent="0.25">
      <c r="B11" s="21"/>
      <c r="C11" s="22" t="s">
        <v>38</v>
      </c>
      <c r="D11" s="23" t="s">
        <v>36</v>
      </c>
      <c r="E11" s="24">
        <f>Transactions!K2</f>
        <v>1918789.6146772206</v>
      </c>
      <c r="F11" s="25"/>
      <c r="G11" s="26"/>
      <c r="H11" s="27"/>
    </row>
    <row r="12" spans="2:17" ht="21.75" customHeight="1" x14ac:dyDescent="0.25">
      <c r="B12" s="21"/>
      <c r="C12" s="28"/>
      <c r="D12" s="29" t="s">
        <v>41</v>
      </c>
      <c r="E12" s="30"/>
      <c r="F12" s="31">
        <f>+Transactions!J2</f>
        <v>1285593.0099999995</v>
      </c>
      <c r="G12" s="32"/>
      <c r="H12" s="33"/>
    </row>
    <row r="13" spans="2:17" ht="21.75" customHeight="1" x14ac:dyDescent="0.25">
      <c r="B13" s="34"/>
      <c r="C13" s="35" t="s">
        <v>39</v>
      </c>
      <c r="D13" s="36" t="s">
        <v>37</v>
      </c>
      <c r="E13" s="37">
        <f>Transactions!K3</f>
        <v>17.534722508656106</v>
      </c>
      <c r="F13" s="33"/>
      <c r="G13" s="38"/>
      <c r="H13" s="39"/>
    </row>
    <row r="14" spans="2:17" ht="21.75" customHeight="1" thickBot="1" x14ac:dyDescent="0.3">
      <c r="B14" s="16"/>
      <c r="C14" s="40"/>
      <c r="D14" s="41" t="s">
        <v>40</v>
      </c>
      <c r="E14" s="42"/>
      <c r="F14" s="43">
        <f>+Transactions!J3</f>
        <v>12.581896396484561</v>
      </c>
      <c r="G14" s="44"/>
      <c r="H14" s="33"/>
    </row>
    <row r="15" spans="2:17" x14ac:dyDescent="0.25">
      <c r="B15" s="21"/>
      <c r="E15" s="45"/>
    </row>
    <row r="16" spans="2:17" ht="13" x14ac:dyDescent="0.3">
      <c r="B16" s="34"/>
      <c r="C16" s="34"/>
      <c r="D16" s="46"/>
      <c r="E16" s="34"/>
      <c r="F16" s="47"/>
      <c r="G16" s="48"/>
      <c r="H16" s="48"/>
      <c r="J16" s="45"/>
      <c r="L16" s="50"/>
      <c r="M16" s="51"/>
      <c r="N16" s="51"/>
      <c r="O16" s="51"/>
      <c r="P16" s="51"/>
      <c r="Q16" s="51"/>
    </row>
    <row r="17" spans="2:17" ht="13" x14ac:dyDescent="0.3">
      <c r="C17" s="10"/>
      <c r="L17" s="52"/>
      <c r="M17" s="51"/>
      <c r="N17" s="51"/>
      <c r="O17" s="51"/>
      <c r="P17" s="51"/>
      <c r="Q17" s="51"/>
    </row>
    <row r="18" spans="2:17" x14ac:dyDescent="0.25">
      <c r="C18" s="50"/>
      <c r="D18" s="50"/>
      <c r="E18" s="50"/>
      <c r="F18" s="50"/>
      <c r="G18" s="50"/>
      <c r="H18" s="50"/>
      <c r="I18" s="50"/>
      <c r="L18" s="50"/>
      <c r="M18" s="51"/>
      <c r="N18" s="51"/>
      <c r="O18" s="51"/>
      <c r="P18" s="51"/>
      <c r="Q18" s="51"/>
    </row>
    <row r="19" spans="2:17" ht="21" customHeight="1" thickBot="1" x14ac:dyDescent="0.3">
      <c r="C19" s="53" t="s">
        <v>31</v>
      </c>
      <c r="D19" s="53" t="s">
        <v>32</v>
      </c>
      <c r="E19" s="54" t="s">
        <v>33</v>
      </c>
      <c r="F19" s="54" t="s">
        <v>34</v>
      </c>
      <c r="G19" s="53" t="s">
        <v>35</v>
      </c>
      <c r="H19" s="53" t="s">
        <v>91</v>
      </c>
      <c r="I19" s="54" t="s">
        <v>90</v>
      </c>
      <c r="L19" s="50"/>
      <c r="M19" s="51"/>
      <c r="N19" s="51"/>
      <c r="O19" s="51"/>
      <c r="P19" s="51"/>
      <c r="Q19" s="51"/>
    </row>
    <row r="20" spans="2:17" ht="53.25" customHeight="1" x14ac:dyDescent="0.25">
      <c r="C20" s="55" t="s">
        <v>49</v>
      </c>
      <c r="D20" s="56" t="str">
        <f>"Actual Charge
("&amp;F8&amp;" True-Up)"</f>
        <v>Actual Charge
(2023 True-Up)</v>
      </c>
      <c r="E20" s="57" t="str">
        <f>"Invoiced for
CY"&amp;F8&amp;" Transmission Service"</f>
        <v>Invoiced for
CY2023 Transmission Service</v>
      </c>
      <c r="F20" s="56" t="s">
        <v>96</v>
      </c>
      <c r="G20" s="58" t="s">
        <v>97</v>
      </c>
      <c r="H20" s="58" t="s">
        <v>85</v>
      </c>
      <c r="I20" s="56" t="s">
        <v>98</v>
      </c>
      <c r="L20" s="50"/>
      <c r="M20" s="51"/>
      <c r="N20" s="51"/>
      <c r="O20" s="51"/>
      <c r="P20" s="51"/>
      <c r="Q20" s="51"/>
    </row>
    <row r="21" spans="2:17" x14ac:dyDescent="0.25">
      <c r="B21" s="59"/>
      <c r="C21" s="60" t="s">
        <v>14</v>
      </c>
      <c r="D21" s="61">
        <f>GETPIVOTDATA("Sum of "&amp;T(Transactions!$J$19),Pivot!$A$3,"Customer",C21)</f>
        <v>120220.02006840998</v>
      </c>
      <c r="E21" s="61">
        <f>GETPIVOTDATA("Sum of "&amp;T(Transactions!$K$19),Pivot!$A$3,"Customer",C21)</f>
        <v>167544.2735702091</v>
      </c>
      <c r="F21" s="61">
        <f>D21-E21</f>
        <v>-47324.253501799118</v>
      </c>
      <c r="G21" s="51">
        <f>+GETPIVOTDATA("Sum of "&amp;T(Transactions!$M$19),Pivot!$A$3,"Customer","AECC")</f>
        <v>-3882.9561222879988</v>
      </c>
      <c r="H21" s="51">
        <f>GETPIVOTDATA("Sum of "&amp;T(Transactions!$Q$19),Pivot!$A$3,"Customer","AECC")</f>
        <v>0</v>
      </c>
      <c r="I21" s="62">
        <f>F21+G21-H21</f>
        <v>-51207.209624087118</v>
      </c>
      <c r="J21" s="59"/>
      <c r="L21" s="50"/>
      <c r="M21" s="51"/>
      <c r="N21" s="51"/>
      <c r="O21" s="51"/>
      <c r="P21" s="51"/>
      <c r="Q21" s="51"/>
    </row>
    <row r="22" spans="2:17" x14ac:dyDescent="0.25">
      <c r="B22" s="59"/>
      <c r="C22" s="63" t="s">
        <v>82</v>
      </c>
      <c r="D22" s="61">
        <f>GETPIVOTDATA("Sum of "&amp;T(Transactions!$J$19),Pivot!$A$3,"Customer",C22)</f>
        <v>6605.4956081543951</v>
      </c>
      <c r="E22" s="61">
        <f>GETPIVOTDATA("Sum of "&amp;T(Transactions!$K$19),Pivot!$A$3,"Customer",C22)</f>
        <v>9205.7293170444573</v>
      </c>
      <c r="F22" s="61">
        <f>D22-E22</f>
        <v>-2600.2337088900622</v>
      </c>
      <c r="G22" s="51">
        <f>+GETPIVOTDATA("Sum of "&amp;T(Transactions!$M$19),Pivot!$A$3,"Customer","AECI")</f>
        <v>-213.34923748835155</v>
      </c>
      <c r="H22" s="51">
        <f>GETPIVOTDATA("Sum of "&amp;T(Transactions!$Q$19),Pivot!$A$3,"Customer",C22)</f>
        <v>0</v>
      </c>
      <c r="I22" s="62">
        <f t="shared" ref="I22:I33" si="0">F22+G22-H22</f>
        <v>-2813.5829463784139</v>
      </c>
      <c r="J22" s="59"/>
      <c r="L22" s="50"/>
      <c r="M22" s="51"/>
      <c r="N22" s="51"/>
      <c r="O22" s="51"/>
      <c r="P22" s="51"/>
      <c r="Q22" s="51"/>
    </row>
    <row r="23" spans="2:17" x14ac:dyDescent="0.25">
      <c r="B23" s="59"/>
      <c r="C23" s="63" t="s">
        <v>53</v>
      </c>
      <c r="D23" s="61">
        <f>GETPIVOTDATA("Sum of "&amp;T(Transactions!$J$19),Pivot!$A$3,"Customer",C23)</f>
        <v>19086.736833467075</v>
      </c>
      <c r="E23" s="61">
        <f>GETPIVOTDATA("Sum of "&amp;T(Transactions!$K$19),Pivot!$A$3,"Customer",C23)</f>
        <v>26600.174045631313</v>
      </c>
      <c r="F23" s="61">
        <f t="shared" ref="F23:F35" si="1">D23-E23</f>
        <v>-7513.4372121642373</v>
      </c>
      <c r="G23" s="51">
        <f>+GETPIVOTDATA("Sum of "&amp;T(Transactions!$M$19),Pivot!$A$3,"Customer","Bentonville, AR")</f>
        <v>-616.47770146634161</v>
      </c>
      <c r="H23" s="51">
        <f>GETPIVOTDATA("Sum of "&amp;T(Transactions!$Q$19),Pivot!$A$3,"Customer",C23)</f>
        <v>0</v>
      </c>
      <c r="I23" s="62">
        <f t="shared" si="0"/>
        <v>-8129.9149136305787</v>
      </c>
      <c r="J23" s="59"/>
      <c r="L23" s="50"/>
      <c r="M23" s="51"/>
      <c r="N23" s="51"/>
      <c r="O23" s="51"/>
      <c r="P23" s="51"/>
      <c r="Q23" s="51"/>
    </row>
    <row r="24" spans="2:17" x14ac:dyDescent="0.25">
      <c r="B24" s="59"/>
      <c r="C24" s="60" t="s">
        <v>17</v>
      </c>
      <c r="D24" s="61">
        <f>GETPIVOTDATA("Sum of "&amp;T(Transactions!$J$19),Pivot!$A$3,"Customer",C24)</f>
        <v>16041.917905517817</v>
      </c>
      <c r="E24" s="61">
        <f>GETPIVOTDATA("Sum of "&amp;T(Transactions!$K$19),Pivot!$A$3,"Customer",C24)</f>
        <v>22356.771198536535</v>
      </c>
      <c r="F24" s="61">
        <f t="shared" si="1"/>
        <v>-6314.8532930187175</v>
      </c>
      <c r="G24" s="51">
        <f>+GETPIVOTDATA("Sum of "&amp;T(Transactions!$M$19),Pivot!$A$3,"Customer","Coffeyville, KS")</f>
        <v>-518.13386247171093</v>
      </c>
      <c r="H24" s="51">
        <f>GETPIVOTDATA("Sum of "&amp;T(Transactions!$Q$19),Pivot!$A$3,"Customer",C24)</f>
        <v>0</v>
      </c>
      <c r="I24" s="62">
        <f t="shared" si="0"/>
        <v>-6832.9871554904284</v>
      </c>
      <c r="J24" s="59"/>
      <c r="L24" s="50"/>
      <c r="M24" s="51"/>
      <c r="N24" s="51"/>
      <c r="O24" s="51"/>
      <c r="P24" s="51"/>
      <c r="Q24" s="51"/>
    </row>
    <row r="25" spans="2:17" x14ac:dyDescent="0.25">
      <c r="B25" s="59"/>
      <c r="C25" s="63" t="s">
        <v>13</v>
      </c>
      <c r="D25" s="61">
        <f>GETPIVOTDATA("Sum of "&amp;T(Transactions!$J$19),Pivot!$A$3,"Customer",C25)</f>
        <v>131065.61476217967</v>
      </c>
      <c r="E25" s="61">
        <f>GETPIVOTDATA("Sum of "&amp;T(Transactions!$K$19),Pivot!$A$3,"Customer",C25)</f>
        <v>182659.20437267065</v>
      </c>
      <c r="F25" s="61">
        <f t="shared" si="1"/>
        <v>-51593.589610490977</v>
      </c>
      <c r="G25" s="51">
        <f>+GETPIVOTDATA("Sum of "&amp;T(Transactions!$M$19),Pivot!$A$3,"Customer","ETEC")</f>
        <v>-4233.2552512688726</v>
      </c>
      <c r="H25" s="51">
        <f>GETPIVOTDATA("Sum of "&amp;T(Transactions!$Q$19),Pivot!$A$3,"Customer",C25)</f>
        <v>0</v>
      </c>
      <c r="I25" s="62">
        <f t="shared" si="0"/>
        <v>-55826.844861759848</v>
      </c>
      <c r="J25" s="59"/>
      <c r="L25" s="52"/>
      <c r="M25" s="51"/>
      <c r="N25" s="51"/>
      <c r="O25" s="51"/>
      <c r="P25" s="51"/>
      <c r="Q25" s="51"/>
    </row>
    <row r="26" spans="2:17" x14ac:dyDescent="0.25">
      <c r="B26" s="59"/>
      <c r="C26" s="60" t="s">
        <v>15</v>
      </c>
      <c r="D26" s="61">
        <f>GETPIVOTDATA("Sum of "&amp;T(Transactions!$J$19),Pivot!$A$3,"Customer",C26)</f>
        <v>1358.8448108203331</v>
      </c>
      <c r="E26" s="61">
        <f>GETPIVOTDATA("Sum of "&amp;T(Transactions!$K$19),Pivot!$A$3,"Customer",C26)</f>
        <v>1893.7500309348595</v>
      </c>
      <c r="F26" s="61">
        <f t="shared" si="1"/>
        <v>-534.9052201145264</v>
      </c>
      <c r="G26" s="51">
        <f>+GETPIVOTDATA("Sum of "&amp;T(Transactions!$M$19),Pivot!$A$3,"Customer","Greenbelt")</f>
        <v>-43.88898599760374</v>
      </c>
      <c r="H26" s="51">
        <f>GETPIVOTDATA("Sum of "&amp;T(Transactions!$Q$19),Pivot!$A$3,"Customer",C26)</f>
        <v>0</v>
      </c>
      <c r="I26" s="62">
        <f t="shared" si="0"/>
        <v>-578.79420611213015</v>
      </c>
      <c r="J26" s="59"/>
      <c r="K26" s="64"/>
      <c r="L26" s="64"/>
      <c r="M26" s="64"/>
      <c r="N26" s="64"/>
      <c r="O26" s="51"/>
      <c r="P26" s="51"/>
      <c r="Q26" s="51"/>
    </row>
    <row r="27" spans="2:17" x14ac:dyDescent="0.25">
      <c r="B27" s="59"/>
      <c r="C27" s="60" t="s">
        <v>56</v>
      </c>
      <c r="D27" s="61">
        <f>GETPIVOTDATA("Sum of "&amp;T(Transactions!$J$19),Pivot!$A$3,"Customer",C27)</f>
        <v>5737.3447567969606</v>
      </c>
      <c r="E27" s="61">
        <f>GETPIVOTDATA("Sum of "&amp;T(Transactions!$K$19),Pivot!$A$3,"Customer",C27)</f>
        <v>7995.8334639471841</v>
      </c>
      <c r="F27" s="61">
        <f t="shared" si="1"/>
        <v>-2258.4887071502235</v>
      </c>
      <c r="G27" s="51">
        <f>+GETPIVOTDATA("Sum of "&amp;T(Transactions!$M$19),Pivot!$A$3,"Customer","Hope, AR")</f>
        <v>-185.30905198988251</v>
      </c>
      <c r="H27" s="51">
        <f>GETPIVOTDATA("Sum of "&amp;T(Transactions!$Q$19),Pivot!$A$3,"Customer",C27)</f>
        <v>0</v>
      </c>
      <c r="I27" s="62">
        <f t="shared" si="0"/>
        <v>-2443.7977591401059</v>
      </c>
      <c r="J27" s="59"/>
      <c r="K27" s="64"/>
      <c r="L27" s="64"/>
      <c r="M27" s="64"/>
      <c r="N27" s="64"/>
      <c r="O27" s="51"/>
      <c r="P27" s="51"/>
      <c r="Q27" s="51"/>
    </row>
    <row r="28" spans="2:17" x14ac:dyDescent="0.25">
      <c r="B28" s="59"/>
      <c r="C28" s="60" t="s">
        <v>16</v>
      </c>
      <c r="D28" s="61">
        <f>GETPIVOTDATA("Sum of "&amp;T(Transactions!$J$19),Pivot!$A$3,"Customer",C28)</f>
        <v>704.58619820313527</v>
      </c>
      <c r="E28" s="61">
        <f>GETPIVOTDATA("Sum of "&amp;T(Transactions!$K$19),Pivot!$A$3,"Customer",C28)</f>
        <v>981.94446048474197</v>
      </c>
      <c r="F28" s="61">
        <f t="shared" si="1"/>
        <v>-277.3582622816067</v>
      </c>
      <c r="G28" s="51">
        <f>+GETPIVOTDATA("Sum of "&amp;T(Transactions!$M$19),Pivot!$A$3,"Customer","Lighthouse")</f>
        <v>-22.757251998757496</v>
      </c>
      <c r="H28" s="51">
        <f>GETPIVOTDATA("Sum of "&amp;T(Transactions!$Q$19),Pivot!$A$3,"Customer",C28)</f>
        <v>0</v>
      </c>
      <c r="I28" s="62">
        <f t="shared" si="0"/>
        <v>-300.11551428036421</v>
      </c>
      <c r="J28" s="59"/>
      <c r="L28" s="50"/>
      <c r="M28" s="51"/>
      <c r="N28" s="51"/>
      <c r="O28" s="51"/>
      <c r="P28" s="51"/>
      <c r="Q28" s="51"/>
    </row>
    <row r="29" spans="2:17" x14ac:dyDescent="0.25">
      <c r="B29" s="59"/>
      <c r="C29" s="63" t="s">
        <v>55</v>
      </c>
      <c r="D29" s="61">
        <f>GETPIVOTDATA("Sum of "&amp;T(Transactions!$J$19),Pivot!$A$3,"Customer",C29)</f>
        <v>4164.6077072363896</v>
      </c>
      <c r="E29" s="61">
        <f>GETPIVOTDATA("Sum of "&amp;T(Transactions!$K$19),Pivot!$A$3,"Customer",C29)</f>
        <v>5803.9931503651705</v>
      </c>
      <c r="F29" s="61">
        <f t="shared" si="1"/>
        <v>-1639.3854431287809</v>
      </c>
      <c r="G29" s="51">
        <f>+GETPIVOTDATA("Sum of "&amp;T(Transactions!$M$19),Pivot!$A$3,"Customer","Minden, LA")</f>
        <v>-134.51161449265595</v>
      </c>
      <c r="H29" s="51">
        <f>GETPIVOTDATA("Sum of "&amp;T(Transactions!$Q$19),Pivot!$A$3,"Customer",C29)</f>
        <v>0</v>
      </c>
      <c r="I29" s="62">
        <f t="shared" si="0"/>
        <v>-1773.8970576214369</v>
      </c>
      <c r="J29" s="59"/>
      <c r="L29" s="50"/>
      <c r="M29" s="51"/>
      <c r="N29" s="51"/>
      <c r="O29" s="51"/>
      <c r="P29" s="51"/>
      <c r="Q29" s="51"/>
    </row>
    <row r="30" spans="2:17" x14ac:dyDescent="0.25">
      <c r="B30" s="59"/>
      <c r="C30" s="63" t="s">
        <v>19</v>
      </c>
      <c r="D30" s="61">
        <f>GETPIVOTDATA("Sum of "&amp;T(Transactions!$J$19),Pivot!$A$3,"Customer",C30)</f>
        <v>9310.6033333985743</v>
      </c>
      <c r="E30" s="61">
        <f>GETPIVOTDATA("Sum of "&amp;T(Transactions!$K$19),Pivot!$A$3,"Customer",C30)</f>
        <v>12975.69465640552</v>
      </c>
      <c r="F30" s="61">
        <f t="shared" si="1"/>
        <v>-3665.0913230069455</v>
      </c>
      <c r="G30" s="51">
        <f>+GETPIVOTDATA("Sum of "&amp;T(Transactions!$M$19),Pivot!$A$3,"Customer","OG&amp;E")</f>
        <v>-300.72082998358127</v>
      </c>
      <c r="H30" s="51">
        <f>GETPIVOTDATA("Sum of "&amp;T(Transactions!$Q$19),Pivot!$A$3,"Customer",C30)</f>
        <v>0</v>
      </c>
      <c r="I30" s="62">
        <f t="shared" si="0"/>
        <v>-3965.8121529905266</v>
      </c>
      <c r="J30" s="59"/>
    </row>
    <row r="31" spans="2:17" x14ac:dyDescent="0.25">
      <c r="B31" s="59"/>
      <c r="C31" s="60" t="s">
        <v>8</v>
      </c>
      <c r="D31" s="61">
        <f>GETPIVOTDATA("Sum of "&amp;T(Transactions!$J$19),Pivot!$A$3,"Customer",C31)</f>
        <v>15966.426527138907</v>
      </c>
      <c r="E31" s="61">
        <f>GETPIVOTDATA("Sum of "&amp;T(Transactions!$K$19),Pivot!$A$3,"Customer",C31)</f>
        <v>22251.5628634846</v>
      </c>
      <c r="F31" s="61">
        <f t="shared" si="1"/>
        <v>-6285.1363363456931</v>
      </c>
      <c r="G31" s="51">
        <f>+GETPIVOTDATA("Sum of "&amp;T(Transactions!$M$19),Pivot!$A$3,"Customer","OMPA")</f>
        <v>-515.69558547184408</v>
      </c>
      <c r="H31" s="51">
        <f>GETPIVOTDATA("Sum of "&amp;T(Transactions!$Q$19),Pivot!$A$3,"Customer",C31)</f>
        <v>0</v>
      </c>
      <c r="I31" s="62">
        <f t="shared" si="0"/>
        <v>-6800.8319218175375</v>
      </c>
      <c r="J31" s="59"/>
    </row>
    <row r="32" spans="2:17" x14ac:dyDescent="0.25">
      <c r="B32" s="59"/>
      <c r="C32" s="60" t="s">
        <v>54</v>
      </c>
      <c r="D32" s="61">
        <f>GETPIVOTDATA("Sum of "&amp;T(Transactions!$J$19),Pivot!$A$3,"Customer",C32)</f>
        <v>1522.4094639746318</v>
      </c>
      <c r="E32" s="61">
        <f>GETPIVOTDATA("Sum of "&amp;T(Transactions!$K$19),Pivot!$A$3,"Customer",C32)</f>
        <v>2121.7014235473889</v>
      </c>
      <c r="F32" s="61">
        <f t="shared" si="1"/>
        <v>-599.29195957275715</v>
      </c>
      <c r="G32" s="51">
        <f>+GETPIVOTDATA("Sum of "&amp;T(Transactions!$M$19),Pivot!$A$3,"Customer","Prescott, AR")</f>
        <v>-49.171919497315308</v>
      </c>
      <c r="H32" s="51">
        <f>GETPIVOTDATA("Sum of "&amp;T(Transactions!$Q$19),Pivot!$A$3,"Customer",C32)</f>
        <v>0</v>
      </c>
      <c r="I32" s="62">
        <f t="shared" si="0"/>
        <v>-648.46387907007249</v>
      </c>
      <c r="J32" s="59"/>
    </row>
    <row r="33" spans="2:11" x14ac:dyDescent="0.25">
      <c r="B33" s="59"/>
      <c r="C33" s="65" t="s">
        <v>9</v>
      </c>
      <c r="D33" s="61">
        <f>GETPIVOTDATA("Sum of "&amp;T(Transactions!$J$19),Pivot!$A$3,"Customer",C33)</f>
        <v>7750.4481802344899</v>
      </c>
      <c r="E33" s="61">
        <f>GETPIVOTDATA("Sum of "&amp;T(Transactions!$K$19),Pivot!$A$3,"Customer",C33)</f>
        <v>10801.389065332161</v>
      </c>
      <c r="F33" s="61">
        <f t="shared" si="1"/>
        <v>-3050.9408850976715</v>
      </c>
      <c r="G33" s="51">
        <f>+GETPIVOTDATA("Sum of "&amp;T(Transactions!$M$19),Pivot!$A$3,"Customer","WFEC")</f>
        <v>-250.32977198633253</v>
      </c>
      <c r="H33" s="51">
        <f>GETPIVOTDATA("Sum of "&amp;T(Transactions!$Q$19),Pivot!$A$3,"Customer",C33)</f>
        <v>0</v>
      </c>
      <c r="I33" s="62">
        <f t="shared" si="0"/>
        <v>-3301.2706570840041</v>
      </c>
      <c r="J33" s="59"/>
    </row>
    <row r="34" spans="2:11" ht="23" x14ac:dyDescent="0.25">
      <c r="C34" s="66" t="s">
        <v>42</v>
      </c>
      <c r="D34" s="67">
        <f t="shared" ref="D34:I34" si="2">SUM(D21:D33)</f>
        <v>339535.05615553242</v>
      </c>
      <c r="E34" s="67">
        <f t="shared" si="2"/>
        <v>473192.02161859378</v>
      </c>
      <c r="F34" s="67">
        <f t="shared" si="2"/>
        <v>-133656.96546306129</v>
      </c>
      <c r="G34" s="68">
        <f t="shared" si="2"/>
        <v>-10966.557186401251</v>
      </c>
      <c r="H34" s="68">
        <f t="shared" si="2"/>
        <v>0</v>
      </c>
      <c r="I34" s="69">
        <f t="shared" si="2"/>
        <v>-144623.52264946254</v>
      </c>
    </row>
    <row r="35" spans="2:11" x14ac:dyDescent="0.25">
      <c r="C35" s="70" t="s">
        <v>21</v>
      </c>
      <c r="D35" s="61">
        <f>GETPIVOTDATA("Sum of "&amp;T(Transactions!$J$19),Pivot!$A$3,"Customer",C35)</f>
        <v>478791.48547182349</v>
      </c>
      <c r="E35" s="61">
        <f>GETPIVOTDATA("Sum of "&amp;T(Transactions!$K$19),Pivot!$A$3,"Customer",C35)</f>
        <v>667266.33034439932</v>
      </c>
      <c r="F35" s="61">
        <f t="shared" si="1"/>
        <v>-188474.84487257584</v>
      </c>
      <c r="G35" s="51">
        <f>+GETPIVOTDATA("Sum of "&amp;T(Transactions!$M$19),Pivot!$A$3,"Customer","PSO")</f>
        <v>-15464.365492155679</v>
      </c>
      <c r="H35" s="51">
        <f>GETPIVOTDATA("Sum of "&amp;T(Transactions!$Q$19),Pivot!$A$3,"Customer",C35)</f>
        <v>0</v>
      </c>
      <c r="I35" s="62">
        <f>F35+G35-H35</f>
        <v>-203939.21036473152</v>
      </c>
    </row>
    <row r="36" spans="2:11" x14ac:dyDescent="0.25">
      <c r="C36" s="71" t="s">
        <v>22</v>
      </c>
      <c r="D36" s="61">
        <f>GETPIVOTDATA("Sum of "&amp;T(Transactions!$J$19),Pivot!$A$3,"Customer",C36)</f>
        <v>446846.05052114918</v>
      </c>
      <c r="E36" s="61">
        <f>GETPIVOTDATA("Sum of "&amp;T(Transactions!$K$19),Pivot!$A$3,"Customer",C36)</f>
        <v>622745.66989492159</v>
      </c>
      <c r="F36" s="61">
        <f>D36-E36</f>
        <v>-175899.61937377241</v>
      </c>
      <c r="G36" s="51">
        <f>+GETPIVOTDATA("Sum of "&amp;T(Transactions!$M$19),Pivot!$A$3,"Customer","SWEPCO")</f>
        <v>-14432.567941712008</v>
      </c>
      <c r="H36" s="51">
        <f>GETPIVOTDATA("Sum of "&amp;T(Transactions!$Q$19),Pivot!$A$3,"Customer",C36)</f>
        <v>0</v>
      </c>
      <c r="I36" s="62">
        <f>F36+G36-H36</f>
        <v>-190332.18731548442</v>
      </c>
    </row>
    <row r="37" spans="2:11" x14ac:dyDescent="0.25">
      <c r="C37" s="72" t="s">
        <v>80</v>
      </c>
      <c r="D37" s="61">
        <f>GETPIVOTDATA("Sum of "&amp;T(Transactions!$J$19),Pivot!$A$3,"Customer",C37)</f>
        <v>20420.417851494443</v>
      </c>
      <c r="E37" s="61">
        <f>GETPIVOTDATA("Sum of "&amp;T(Transactions!$K$19),Pivot!$A$3,"Customer",C37)</f>
        <v>28458.85463154886</v>
      </c>
      <c r="F37" s="61">
        <f>D37-E37</f>
        <v>-8038.4367800544169</v>
      </c>
      <c r="G37" s="51">
        <f>+GETPIVOTDATA("Sum of "&amp;T(Transactions!$M$19),Pivot!$A$3,"Customer","SWEPCO-Valley")</f>
        <v>-659.55392846398968</v>
      </c>
      <c r="H37" s="51">
        <f>GETPIVOTDATA("Sum of "&amp;T(Transactions!$Q$19),Pivot!$A$3,"Customer",C37)</f>
        <v>0</v>
      </c>
      <c r="I37" s="62">
        <f>F37+G37-H37</f>
        <v>-8697.9907085184059</v>
      </c>
    </row>
    <row r="38" spans="2:11" ht="23" x14ac:dyDescent="0.25">
      <c r="C38" s="73" t="s">
        <v>50</v>
      </c>
      <c r="D38" s="74">
        <f t="shared" ref="D38:I38" si="3">SUM(D35:D37)</f>
        <v>946057.95384446706</v>
      </c>
      <c r="E38" s="74">
        <f t="shared" si="3"/>
        <v>1318470.8548708698</v>
      </c>
      <c r="F38" s="74">
        <f t="shared" si="3"/>
        <v>-372412.90102640266</v>
      </c>
      <c r="G38" s="75">
        <f t="shared" si="3"/>
        <v>-30556.487362331674</v>
      </c>
      <c r="H38" s="75">
        <f t="shared" si="3"/>
        <v>0</v>
      </c>
      <c r="I38" s="76">
        <f t="shared" si="3"/>
        <v>-402969.38838873437</v>
      </c>
      <c r="K38" s="77"/>
    </row>
    <row r="39" spans="2:11" ht="23.25" customHeight="1" thickBot="1" x14ac:dyDescent="0.3">
      <c r="C39" s="78" t="s">
        <v>43</v>
      </c>
      <c r="D39" s="79">
        <f t="shared" ref="D39:I39" si="4">SUM(D34,D38)</f>
        <v>1285593.0099999995</v>
      </c>
      <c r="E39" s="80">
        <f t="shared" si="4"/>
        <v>1791662.8764894635</v>
      </c>
      <c r="F39" s="79">
        <f t="shared" si="4"/>
        <v>-506069.86648946395</v>
      </c>
      <c r="G39" s="80">
        <f t="shared" si="4"/>
        <v>-41523.044548732927</v>
      </c>
      <c r="H39" s="80">
        <f t="shared" si="4"/>
        <v>0</v>
      </c>
      <c r="I39" s="81">
        <f t="shared" si="4"/>
        <v>-547592.91103819688</v>
      </c>
      <c r="K39" s="77"/>
    </row>
    <row r="40" spans="2:11" x14ac:dyDescent="0.25">
      <c r="E40" s="50"/>
      <c r="F40" s="50"/>
      <c r="G40" s="50"/>
      <c r="H40" s="50"/>
    </row>
  </sheetData>
  <mergeCells count="4">
    <mergeCell ref="C1:I1"/>
    <mergeCell ref="C2:I2"/>
    <mergeCell ref="C3:I3"/>
    <mergeCell ref="C4:I4"/>
  </mergeCells>
  <phoneticPr fontId="6" type="noConversion"/>
  <printOptions horizontalCentered="1"/>
  <pageMargins left="0.5" right="0.75" top="0.9" bottom="0.53" header="0.5" footer="0.5"/>
  <pageSetup scale="87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O123"/>
  <sheetViews>
    <sheetView zoomScale="85" workbookViewId="0">
      <pane xSplit="2" ySplit="4" topLeftCell="F47" activePane="bottomRight" state="frozen"/>
      <selection pane="topRight" activeCell="C1" sqref="C1"/>
      <selection pane="bottomLeft" activeCell="A5" sqref="A5"/>
      <selection pane="bottomRight" activeCell="I62" sqref="I62"/>
    </sheetView>
  </sheetViews>
  <sheetFormatPr defaultColWidth="8.7265625" defaultRowHeight="12.5" x14ac:dyDescent="0.25"/>
  <cols>
    <col min="1" max="1" width="19.1796875" style="1" customWidth="1"/>
    <col min="2" max="2" width="27.81640625" style="1" bestFit="1" customWidth="1"/>
    <col min="3" max="14" width="14.81640625" style="1" bestFit="1" customWidth="1"/>
    <col min="15" max="15" width="10.36328125" style="1" bestFit="1" customWidth="1"/>
    <col min="16" max="16384" width="8.7265625" style="1"/>
  </cols>
  <sheetData>
    <row r="3" spans="1:15" x14ac:dyDescent="0.25">
      <c r="A3" s="83"/>
      <c r="B3" s="84"/>
      <c r="C3" s="85" t="s">
        <v>52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6"/>
    </row>
    <row r="4" spans="1:15" x14ac:dyDescent="0.25">
      <c r="A4" s="85" t="s">
        <v>0</v>
      </c>
      <c r="B4" s="85" t="s">
        <v>24</v>
      </c>
      <c r="C4" s="87">
        <v>44927</v>
      </c>
      <c r="D4" s="88">
        <v>44958</v>
      </c>
      <c r="E4" s="88">
        <v>44986</v>
      </c>
      <c r="F4" s="88">
        <v>45017</v>
      </c>
      <c r="G4" s="88">
        <v>45047</v>
      </c>
      <c r="H4" s="88">
        <v>45078</v>
      </c>
      <c r="I4" s="88">
        <v>45108</v>
      </c>
      <c r="J4" s="88">
        <v>45139</v>
      </c>
      <c r="K4" s="88">
        <v>45170</v>
      </c>
      <c r="L4" s="88">
        <v>45200</v>
      </c>
      <c r="M4" s="88">
        <v>45231</v>
      </c>
      <c r="N4" s="88">
        <v>45261</v>
      </c>
      <c r="O4" s="89" t="s">
        <v>18</v>
      </c>
    </row>
    <row r="5" spans="1:15" x14ac:dyDescent="0.25">
      <c r="A5" s="83" t="s">
        <v>14</v>
      </c>
      <c r="B5" s="83" t="s">
        <v>69</v>
      </c>
      <c r="C5" s="90">
        <v>10417.810216289217</v>
      </c>
      <c r="D5" s="91">
        <v>9889.3705676368645</v>
      </c>
      <c r="E5" s="91">
        <v>8832.4912703321625</v>
      </c>
      <c r="F5" s="91">
        <v>6530.0042297754871</v>
      </c>
      <c r="G5" s="91">
        <v>9058.9654054688835</v>
      </c>
      <c r="H5" s="91">
        <v>12267.348986572448</v>
      </c>
      <c r="I5" s="91">
        <v>11625.672270351735</v>
      </c>
      <c r="J5" s="91">
        <v>13248.736905498243</v>
      </c>
      <c r="K5" s="91">
        <v>11386.616238818528</v>
      </c>
      <c r="L5" s="91">
        <v>8731.8360991602858</v>
      </c>
      <c r="M5" s="91">
        <v>9260.2757478126368</v>
      </c>
      <c r="N5" s="91">
        <v>8970.8921306934917</v>
      </c>
      <c r="O5" s="92">
        <v>120220.02006840998</v>
      </c>
    </row>
    <row r="6" spans="1:15" ht="13" x14ac:dyDescent="0.3">
      <c r="A6" s="214"/>
      <c r="B6" s="93" t="s">
        <v>25</v>
      </c>
      <c r="C6" s="228">
        <v>-4100.9400208780389</v>
      </c>
      <c r="D6" s="229">
        <v>-3892.9213241668349</v>
      </c>
      <c r="E6" s="229">
        <v>-3476.8839307444232</v>
      </c>
      <c r="F6" s="229">
        <v>-2570.5167522170314</v>
      </c>
      <c r="G6" s="229">
        <v>-3566.034800763513</v>
      </c>
      <c r="H6" s="229">
        <v>-4829.0054593672539</v>
      </c>
      <c r="I6" s="229">
        <v>-4576.4113276465068</v>
      </c>
      <c r="J6" s="229">
        <v>-5215.3258961166375</v>
      </c>
      <c r="K6" s="229">
        <v>-4482.3076315152484</v>
      </c>
      <c r="L6" s="229">
        <v>-3437.2613218470524</v>
      </c>
      <c r="M6" s="229">
        <v>-3645.2800185582564</v>
      </c>
      <c r="N6" s="229">
        <v>-3531.3650179783126</v>
      </c>
      <c r="O6" s="230">
        <v>-47324.253501799103</v>
      </c>
    </row>
    <row r="7" spans="1:15" ht="13" x14ac:dyDescent="0.3">
      <c r="A7" s="214"/>
      <c r="B7" s="93" t="s">
        <v>26</v>
      </c>
      <c r="C7" s="228">
        <v>-336.4822259816288</v>
      </c>
      <c r="D7" s="229">
        <v>-319.41428698256061</v>
      </c>
      <c r="E7" s="229">
        <v>-285.2784089844244</v>
      </c>
      <c r="F7" s="229">
        <v>-210.91096048848468</v>
      </c>
      <c r="G7" s="229">
        <v>-292.59323998402505</v>
      </c>
      <c r="H7" s="229">
        <v>-396.22001247836721</v>
      </c>
      <c r="I7" s="229">
        <v>-375.49465797949875</v>
      </c>
      <c r="J7" s="229">
        <v>-427.91761347663663</v>
      </c>
      <c r="K7" s="229">
        <v>-367.77344747992032</v>
      </c>
      <c r="L7" s="229">
        <v>-282.02737298460187</v>
      </c>
      <c r="M7" s="229">
        <v>-299.09531198367</v>
      </c>
      <c r="N7" s="229">
        <v>-289.7485834841803</v>
      </c>
      <c r="O7" s="230">
        <v>-3882.9561222879988</v>
      </c>
    </row>
    <row r="8" spans="1:15" ht="13" x14ac:dyDescent="0.3">
      <c r="A8" s="214"/>
      <c r="B8" s="93" t="s">
        <v>27</v>
      </c>
      <c r="C8" s="228">
        <v>-4437.4222468596681</v>
      </c>
      <c r="D8" s="229">
        <v>-4212.3356111493958</v>
      </c>
      <c r="E8" s="229">
        <v>-3762.1623397288477</v>
      </c>
      <c r="F8" s="229">
        <v>-2781.4277127055161</v>
      </c>
      <c r="G8" s="229">
        <v>-3858.6280407475379</v>
      </c>
      <c r="H8" s="229">
        <v>-5225.2254718456215</v>
      </c>
      <c r="I8" s="229">
        <v>-4951.9059856260055</v>
      </c>
      <c r="J8" s="229">
        <v>-5643.2435095932742</v>
      </c>
      <c r="K8" s="229">
        <v>-4850.0810789951684</v>
      </c>
      <c r="L8" s="229">
        <v>-3719.2886948316541</v>
      </c>
      <c r="M8" s="229">
        <v>-3944.3753305419264</v>
      </c>
      <c r="N8" s="229">
        <v>-3821.1136014624931</v>
      </c>
      <c r="O8" s="230">
        <v>-51207.209624087096</v>
      </c>
    </row>
    <row r="9" spans="1:15" x14ac:dyDescent="0.25">
      <c r="A9" s="214"/>
      <c r="B9" s="93" t="s">
        <v>48</v>
      </c>
      <c r="C9" s="94">
        <v>14518.750237167256</v>
      </c>
      <c r="D9" s="82">
        <v>13782.291891803699</v>
      </c>
      <c r="E9" s="82">
        <v>12309.375201076586</v>
      </c>
      <c r="F9" s="82">
        <v>9100.5209819925185</v>
      </c>
      <c r="G9" s="82">
        <v>12625.000206232397</v>
      </c>
      <c r="H9" s="82">
        <v>17096.354445939702</v>
      </c>
      <c r="I9" s="82">
        <v>16202.083597998242</v>
      </c>
      <c r="J9" s="82">
        <v>18464.06280161488</v>
      </c>
      <c r="K9" s="82">
        <v>15868.923870333776</v>
      </c>
      <c r="L9" s="82">
        <v>12169.097421007338</v>
      </c>
      <c r="M9" s="82">
        <v>12905.555766370893</v>
      </c>
      <c r="N9" s="82">
        <v>12502.257148671804</v>
      </c>
      <c r="O9" s="95">
        <v>167544.2735702091</v>
      </c>
    </row>
    <row r="10" spans="1:15" x14ac:dyDescent="0.25">
      <c r="A10" s="214"/>
      <c r="B10" s="93" t="s">
        <v>86</v>
      </c>
      <c r="C10" s="94">
        <v>0</v>
      </c>
      <c r="D10" s="82">
        <v>0</v>
      </c>
      <c r="E10" s="82">
        <v>0</v>
      </c>
      <c r="F10" s="82">
        <v>0</v>
      </c>
      <c r="G10" s="82">
        <v>0</v>
      </c>
      <c r="H10" s="82">
        <v>0</v>
      </c>
      <c r="I10" s="82">
        <v>0</v>
      </c>
      <c r="J10" s="82">
        <v>0</v>
      </c>
      <c r="K10" s="82">
        <v>0</v>
      </c>
      <c r="L10" s="82">
        <v>0</v>
      </c>
      <c r="M10" s="82">
        <v>0</v>
      </c>
      <c r="N10" s="82">
        <v>0</v>
      </c>
      <c r="O10" s="95">
        <v>0</v>
      </c>
    </row>
    <row r="11" spans="1:15" x14ac:dyDescent="0.25">
      <c r="A11" s="214"/>
      <c r="B11" s="93" t="s">
        <v>88</v>
      </c>
      <c r="C11" s="94">
        <v>0</v>
      </c>
      <c r="D11" s="82">
        <v>0</v>
      </c>
      <c r="E11" s="82">
        <v>0</v>
      </c>
      <c r="F11" s="82">
        <v>0</v>
      </c>
      <c r="G11" s="82">
        <v>0</v>
      </c>
      <c r="H11" s="82">
        <v>0</v>
      </c>
      <c r="I11" s="82">
        <v>0</v>
      </c>
      <c r="J11" s="82">
        <v>0</v>
      </c>
      <c r="K11" s="82">
        <v>0</v>
      </c>
      <c r="L11" s="82">
        <v>0</v>
      </c>
      <c r="M11" s="82">
        <v>0</v>
      </c>
      <c r="N11" s="82">
        <v>0</v>
      </c>
      <c r="O11" s="95">
        <v>0</v>
      </c>
    </row>
    <row r="12" spans="1:15" x14ac:dyDescent="0.25">
      <c r="A12" s="83" t="s">
        <v>17</v>
      </c>
      <c r="B12" s="83" t="s">
        <v>69</v>
      </c>
      <c r="C12" s="90">
        <v>1308.5172252343943</v>
      </c>
      <c r="D12" s="91">
        <v>1346.2629144238481</v>
      </c>
      <c r="E12" s="91">
        <v>1295.9353288379098</v>
      </c>
      <c r="F12" s="91">
        <v>1233.0258468554871</v>
      </c>
      <c r="G12" s="91">
        <v>1321.0991216308789</v>
      </c>
      <c r="H12" s="91">
        <v>1446.9180855957245</v>
      </c>
      <c r="I12" s="91">
        <v>1384.0086036133018</v>
      </c>
      <c r="J12" s="91">
        <v>1371.4267072168172</v>
      </c>
      <c r="K12" s="91">
        <v>1409.1723964062708</v>
      </c>
      <c r="L12" s="91">
        <v>1346.2629144238481</v>
      </c>
      <c r="M12" s="91">
        <v>1308.5172252343943</v>
      </c>
      <c r="N12" s="91">
        <v>1270.7715360449406</v>
      </c>
      <c r="O12" s="92">
        <v>16041.917905517817</v>
      </c>
    </row>
    <row r="13" spans="1:15" ht="13" x14ac:dyDescent="0.3">
      <c r="A13" s="214"/>
      <c r="B13" s="93" t="s">
        <v>25</v>
      </c>
      <c r="C13" s="228">
        <v>-515.09391566584077</v>
      </c>
      <c r="D13" s="229">
        <v>-529.95239400235528</v>
      </c>
      <c r="E13" s="229">
        <v>-510.14108955366919</v>
      </c>
      <c r="F13" s="229">
        <v>-485.3769589928113</v>
      </c>
      <c r="G13" s="229">
        <v>-520.04674177801212</v>
      </c>
      <c r="H13" s="229">
        <v>-569.57500289972768</v>
      </c>
      <c r="I13" s="229">
        <v>-544.81087233886979</v>
      </c>
      <c r="J13" s="229">
        <v>-539.85804622669821</v>
      </c>
      <c r="K13" s="229">
        <v>-554.71652456321317</v>
      </c>
      <c r="L13" s="229">
        <v>-529.95239400235528</v>
      </c>
      <c r="M13" s="229">
        <v>-515.09391566584077</v>
      </c>
      <c r="N13" s="229">
        <v>-500.23543732932603</v>
      </c>
      <c r="O13" s="230">
        <v>-6314.8532930187193</v>
      </c>
    </row>
    <row r="14" spans="1:15" ht="13" x14ac:dyDescent="0.3">
      <c r="A14" s="214"/>
      <c r="B14" s="93" t="s">
        <v>26</v>
      </c>
      <c r="C14" s="228">
        <v>-42.263467997692494</v>
      </c>
      <c r="D14" s="229">
        <v>-43.482606497625937</v>
      </c>
      <c r="E14" s="229">
        <v>-41.857088497714692</v>
      </c>
      <c r="F14" s="229">
        <v>-39.825190997825622</v>
      </c>
      <c r="G14" s="229">
        <v>-42.669847497670311</v>
      </c>
      <c r="H14" s="229">
        <v>-46.733642497448436</v>
      </c>
      <c r="I14" s="229">
        <v>-44.701744997559381</v>
      </c>
      <c r="J14" s="229">
        <v>-44.295365497581564</v>
      </c>
      <c r="K14" s="229">
        <v>-45.514503997515</v>
      </c>
      <c r="L14" s="229">
        <v>-43.482606497625937</v>
      </c>
      <c r="M14" s="229">
        <v>-42.263467997692494</v>
      </c>
      <c r="N14" s="229">
        <v>-41.044329497759065</v>
      </c>
      <c r="O14" s="230">
        <v>-518.13386247171093</v>
      </c>
    </row>
    <row r="15" spans="1:15" ht="13" x14ac:dyDescent="0.3">
      <c r="A15" s="214"/>
      <c r="B15" s="93" t="s">
        <v>27</v>
      </c>
      <c r="C15" s="228">
        <v>-557.35738366353326</v>
      </c>
      <c r="D15" s="229">
        <v>-573.43500049998124</v>
      </c>
      <c r="E15" s="229">
        <v>-551.99817805138389</v>
      </c>
      <c r="F15" s="229">
        <v>-525.20214999063694</v>
      </c>
      <c r="G15" s="229">
        <v>-562.7165892756824</v>
      </c>
      <c r="H15" s="229">
        <v>-616.30864539717606</v>
      </c>
      <c r="I15" s="229">
        <v>-589.51261733642912</v>
      </c>
      <c r="J15" s="229">
        <v>-584.15341172427975</v>
      </c>
      <c r="K15" s="229">
        <v>-600.23102856072819</v>
      </c>
      <c r="L15" s="229">
        <v>-573.43500049998124</v>
      </c>
      <c r="M15" s="229">
        <v>-557.35738366353326</v>
      </c>
      <c r="N15" s="229">
        <v>-541.27976682708504</v>
      </c>
      <c r="O15" s="230">
        <v>-6832.9871554904303</v>
      </c>
    </row>
    <row r="16" spans="1:15" x14ac:dyDescent="0.25">
      <c r="A16" s="214"/>
      <c r="B16" s="93" t="s">
        <v>48</v>
      </c>
      <c r="C16" s="94">
        <v>1823.6111409002351</v>
      </c>
      <c r="D16" s="82">
        <v>1876.2153084262034</v>
      </c>
      <c r="E16" s="82">
        <v>1806.076418391579</v>
      </c>
      <c r="F16" s="82">
        <v>1718.4028058482984</v>
      </c>
      <c r="G16" s="82">
        <v>1841.145863408891</v>
      </c>
      <c r="H16" s="82">
        <v>2016.4930884954522</v>
      </c>
      <c r="I16" s="82">
        <v>1928.8194759521716</v>
      </c>
      <c r="J16" s="82">
        <v>1911.2847534435155</v>
      </c>
      <c r="K16" s="82">
        <v>1963.8889209694839</v>
      </c>
      <c r="L16" s="82">
        <v>1876.2153084262034</v>
      </c>
      <c r="M16" s="82">
        <v>1823.6111409002351</v>
      </c>
      <c r="N16" s="82">
        <v>1771.0069733742666</v>
      </c>
      <c r="O16" s="95">
        <v>22356.771198536535</v>
      </c>
    </row>
    <row r="17" spans="1:15" x14ac:dyDescent="0.25">
      <c r="A17" s="214"/>
      <c r="B17" s="93" t="s">
        <v>86</v>
      </c>
      <c r="C17" s="94">
        <v>0</v>
      </c>
      <c r="D17" s="82">
        <v>0</v>
      </c>
      <c r="E17" s="82">
        <v>0</v>
      </c>
      <c r="F17" s="82">
        <v>0</v>
      </c>
      <c r="G17" s="82">
        <v>0</v>
      </c>
      <c r="H17" s="82">
        <v>0</v>
      </c>
      <c r="I17" s="82">
        <v>0</v>
      </c>
      <c r="J17" s="82">
        <v>0</v>
      </c>
      <c r="K17" s="82">
        <v>0</v>
      </c>
      <c r="L17" s="82">
        <v>0</v>
      </c>
      <c r="M17" s="82">
        <v>0</v>
      </c>
      <c r="N17" s="82">
        <v>0</v>
      </c>
      <c r="O17" s="95">
        <v>0</v>
      </c>
    </row>
    <row r="18" spans="1:15" x14ac:dyDescent="0.25">
      <c r="A18" s="214"/>
      <c r="B18" s="93" t="s">
        <v>88</v>
      </c>
      <c r="C18" s="94">
        <v>0</v>
      </c>
      <c r="D18" s="82">
        <v>0</v>
      </c>
      <c r="E18" s="82">
        <v>0</v>
      </c>
      <c r="F18" s="82">
        <v>0</v>
      </c>
      <c r="G18" s="82">
        <v>0</v>
      </c>
      <c r="H18" s="82">
        <v>0</v>
      </c>
      <c r="I18" s="82">
        <v>0</v>
      </c>
      <c r="J18" s="82">
        <v>0</v>
      </c>
      <c r="K18" s="82">
        <v>0</v>
      </c>
      <c r="L18" s="82">
        <v>0</v>
      </c>
      <c r="M18" s="82">
        <v>0</v>
      </c>
      <c r="N18" s="82">
        <v>0</v>
      </c>
      <c r="O18" s="95">
        <v>0</v>
      </c>
    </row>
    <row r="19" spans="1:15" x14ac:dyDescent="0.25">
      <c r="A19" s="83" t="s">
        <v>13</v>
      </c>
      <c r="B19" s="83" t="s">
        <v>69</v>
      </c>
      <c r="C19" s="90">
        <v>12166.693815400571</v>
      </c>
      <c r="D19" s="91">
        <v>12015.711058642755</v>
      </c>
      <c r="E19" s="91">
        <v>10971.413657734538</v>
      </c>
      <c r="F19" s="91">
        <v>7574.3016306837062</v>
      </c>
      <c r="G19" s="91">
        <v>8945.7283379005221</v>
      </c>
      <c r="H19" s="91">
        <v>11776.655027109549</v>
      </c>
      <c r="I19" s="91">
        <v>11726.32744152361</v>
      </c>
      <c r="J19" s="91">
        <v>12896.443806396675</v>
      </c>
      <c r="K19" s="91">
        <v>11751.49123431658</v>
      </c>
      <c r="L19" s="91">
        <v>8807.3274775391928</v>
      </c>
      <c r="M19" s="91">
        <v>10908.504175752114</v>
      </c>
      <c r="N19" s="91">
        <v>11525.017099179859</v>
      </c>
      <c r="O19" s="92">
        <v>131065.61476217967</v>
      </c>
    </row>
    <row r="20" spans="1:15" ht="13" x14ac:dyDescent="0.3">
      <c r="A20" s="214"/>
      <c r="B20" s="93" t="s">
        <v>25</v>
      </c>
      <c r="C20" s="228">
        <v>-4789.3828504698849</v>
      </c>
      <c r="D20" s="229">
        <v>-4729.9489371238269</v>
      </c>
      <c r="E20" s="229">
        <v>-4318.8643698135857</v>
      </c>
      <c r="F20" s="229">
        <v>-2981.601319527269</v>
      </c>
      <c r="G20" s="229">
        <v>-3521.4593657539699</v>
      </c>
      <c r="H20" s="229">
        <v>-4635.8452409925649</v>
      </c>
      <c r="I20" s="229">
        <v>-4616.0339365438813</v>
      </c>
      <c r="J20" s="229">
        <v>-5076.6467649758324</v>
      </c>
      <c r="K20" s="229">
        <v>-4625.939588768224</v>
      </c>
      <c r="L20" s="229">
        <v>-3466.9782785200805</v>
      </c>
      <c r="M20" s="229">
        <v>-4294.1002392527298</v>
      </c>
      <c r="N20" s="229">
        <v>-4536.7887187491342</v>
      </c>
      <c r="O20" s="230">
        <v>-51593.589610490984</v>
      </c>
    </row>
    <row r="21" spans="1:15" ht="13" x14ac:dyDescent="0.3">
      <c r="A21" s="214"/>
      <c r="B21" s="93" t="s">
        <v>26</v>
      </c>
      <c r="C21" s="228">
        <v>-392.96897647854468</v>
      </c>
      <c r="D21" s="229">
        <v>-388.09242247881099</v>
      </c>
      <c r="E21" s="229">
        <v>-354.36292398065251</v>
      </c>
      <c r="F21" s="229">
        <v>-244.64045898664313</v>
      </c>
      <c r="G21" s="229">
        <v>-288.93582448422467</v>
      </c>
      <c r="H21" s="229">
        <v>-380.37121197923256</v>
      </c>
      <c r="I21" s="229">
        <v>-378.74569397932129</v>
      </c>
      <c r="J21" s="229">
        <v>-416.53898747725782</v>
      </c>
      <c r="K21" s="229">
        <v>-379.55845297927686</v>
      </c>
      <c r="L21" s="229">
        <v>-284.46564998446877</v>
      </c>
      <c r="M21" s="229">
        <v>-352.33102648076346</v>
      </c>
      <c r="N21" s="229">
        <v>-372.24362197967628</v>
      </c>
      <c r="O21" s="230">
        <v>-4233.2552512688726</v>
      </c>
    </row>
    <row r="22" spans="1:15" ht="13" x14ac:dyDescent="0.3">
      <c r="A22" s="214"/>
      <c r="B22" s="93" t="s">
        <v>27</v>
      </c>
      <c r="C22" s="228">
        <v>-5182.3518269484293</v>
      </c>
      <c r="D22" s="229">
        <v>-5118.0413596026383</v>
      </c>
      <c r="E22" s="229">
        <v>-4673.227293794238</v>
      </c>
      <c r="F22" s="229">
        <v>-3226.2417785139123</v>
      </c>
      <c r="G22" s="229">
        <v>-3810.3951902381946</v>
      </c>
      <c r="H22" s="229">
        <v>-5016.2164529717975</v>
      </c>
      <c r="I22" s="229">
        <v>-4994.7796305232023</v>
      </c>
      <c r="J22" s="229">
        <v>-5493.1857524530906</v>
      </c>
      <c r="K22" s="229">
        <v>-5005.4980417475008</v>
      </c>
      <c r="L22" s="229">
        <v>-3751.4439285045491</v>
      </c>
      <c r="M22" s="229">
        <v>-4646.4312657334931</v>
      </c>
      <c r="N22" s="229">
        <v>-4909.0323407288106</v>
      </c>
      <c r="O22" s="230">
        <v>-55826.84486175987</v>
      </c>
    </row>
    <row r="23" spans="1:15" x14ac:dyDescent="0.25">
      <c r="A23" s="214"/>
      <c r="B23" s="93" t="s">
        <v>48</v>
      </c>
      <c r="C23" s="94">
        <v>16956.076665870456</v>
      </c>
      <c r="D23" s="82">
        <v>16745.659995766582</v>
      </c>
      <c r="E23" s="82">
        <v>15290.278027548124</v>
      </c>
      <c r="F23" s="82">
        <v>10555.902950210975</v>
      </c>
      <c r="G23" s="82">
        <v>12467.187703654492</v>
      </c>
      <c r="H23" s="82">
        <v>16412.500268102114</v>
      </c>
      <c r="I23" s="82">
        <v>16342.361378067491</v>
      </c>
      <c r="J23" s="82">
        <v>17973.090571372508</v>
      </c>
      <c r="K23" s="82">
        <v>16377.430823084804</v>
      </c>
      <c r="L23" s="82">
        <v>12274.305756059273</v>
      </c>
      <c r="M23" s="82">
        <v>15202.604415004844</v>
      </c>
      <c r="N23" s="82">
        <v>16061.805817928993</v>
      </c>
      <c r="O23" s="95">
        <v>182659.20437267065</v>
      </c>
    </row>
    <row r="24" spans="1:15" x14ac:dyDescent="0.25">
      <c r="A24" s="214"/>
      <c r="B24" s="93" t="s">
        <v>86</v>
      </c>
      <c r="C24" s="94">
        <v>0</v>
      </c>
      <c r="D24" s="82">
        <v>0</v>
      </c>
      <c r="E24" s="82">
        <v>0</v>
      </c>
      <c r="F24" s="82">
        <v>0</v>
      </c>
      <c r="G24" s="82">
        <v>0</v>
      </c>
      <c r="H24" s="82">
        <v>0</v>
      </c>
      <c r="I24" s="82">
        <v>0</v>
      </c>
      <c r="J24" s="82">
        <v>0</v>
      </c>
      <c r="K24" s="82">
        <v>0</v>
      </c>
      <c r="L24" s="82">
        <v>0</v>
      </c>
      <c r="M24" s="82">
        <v>0</v>
      </c>
      <c r="N24" s="82">
        <v>0</v>
      </c>
      <c r="O24" s="95">
        <v>0</v>
      </c>
    </row>
    <row r="25" spans="1:15" x14ac:dyDescent="0.25">
      <c r="A25" s="214"/>
      <c r="B25" s="93" t="s">
        <v>88</v>
      </c>
      <c r="C25" s="94">
        <v>0</v>
      </c>
      <c r="D25" s="82">
        <v>0</v>
      </c>
      <c r="E25" s="82">
        <v>0</v>
      </c>
      <c r="F25" s="82">
        <v>0</v>
      </c>
      <c r="G25" s="82">
        <v>0</v>
      </c>
      <c r="H25" s="82">
        <v>0</v>
      </c>
      <c r="I25" s="82">
        <v>0</v>
      </c>
      <c r="J25" s="82">
        <v>0</v>
      </c>
      <c r="K25" s="82">
        <v>0</v>
      </c>
      <c r="L25" s="82">
        <v>0</v>
      </c>
      <c r="M25" s="82">
        <v>0</v>
      </c>
      <c r="N25" s="82">
        <v>0</v>
      </c>
      <c r="O25" s="95">
        <v>0</v>
      </c>
    </row>
    <row r="26" spans="1:15" x14ac:dyDescent="0.25">
      <c r="A26" s="83" t="s">
        <v>15</v>
      </c>
      <c r="B26" s="83" t="s">
        <v>69</v>
      </c>
      <c r="C26" s="90">
        <v>75.49137837890737</v>
      </c>
      <c r="D26" s="91">
        <v>62.909481982422804</v>
      </c>
      <c r="E26" s="91">
        <v>62.909481982422804</v>
      </c>
      <c r="F26" s="91">
        <v>88.073274775391923</v>
      </c>
      <c r="G26" s="91">
        <v>50.327585585938245</v>
      </c>
      <c r="H26" s="91">
        <v>176.14654955078385</v>
      </c>
      <c r="I26" s="91">
        <v>163.56465315429929</v>
      </c>
      <c r="J26" s="91">
        <v>239.05603153320666</v>
      </c>
      <c r="K26" s="91">
        <v>226.47413513672211</v>
      </c>
      <c r="L26" s="91">
        <v>75.49137837890737</v>
      </c>
      <c r="M26" s="91">
        <v>75.49137837890737</v>
      </c>
      <c r="N26" s="91">
        <v>62.909481982422804</v>
      </c>
      <c r="O26" s="92">
        <v>1358.8448108203331</v>
      </c>
    </row>
    <row r="27" spans="1:15" ht="13" x14ac:dyDescent="0.3">
      <c r="A27" s="214"/>
      <c r="B27" s="93" t="s">
        <v>25</v>
      </c>
      <c r="C27" s="228">
        <v>-29.716956673029273</v>
      </c>
      <c r="D27" s="229">
        <v>-24.764130560857723</v>
      </c>
      <c r="E27" s="229">
        <v>-24.764130560857723</v>
      </c>
      <c r="F27" s="229">
        <v>-34.669782785200823</v>
      </c>
      <c r="G27" s="229">
        <v>-19.81130444868618</v>
      </c>
      <c r="H27" s="229">
        <v>-69.339565570401646</v>
      </c>
      <c r="I27" s="229">
        <v>-64.386739458230096</v>
      </c>
      <c r="J27" s="229">
        <v>-94.103696131259341</v>
      </c>
      <c r="K27" s="229">
        <v>-89.15087001908779</v>
      </c>
      <c r="L27" s="229">
        <v>-29.716956673029273</v>
      </c>
      <c r="M27" s="229">
        <v>-29.716956673029273</v>
      </c>
      <c r="N27" s="229">
        <v>-24.764130560857723</v>
      </c>
      <c r="O27" s="230">
        <v>-534.90522011452686</v>
      </c>
    </row>
    <row r="28" spans="1:15" ht="13" x14ac:dyDescent="0.3">
      <c r="A28" s="214"/>
      <c r="B28" s="93" t="s">
        <v>26</v>
      </c>
      <c r="C28" s="228">
        <v>-2.4382769998668752</v>
      </c>
      <c r="D28" s="229">
        <v>-2.0318974998890624</v>
      </c>
      <c r="E28" s="229">
        <v>-2.0318974998890624</v>
      </c>
      <c r="F28" s="229">
        <v>-2.8446564998446875</v>
      </c>
      <c r="G28" s="229">
        <v>-1.6255179999112499</v>
      </c>
      <c r="H28" s="229">
        <v>-5.689312999689375</v>
      </c>
      <c r="I28" s="229">
        <v>-5.2829334997115618</v>
      </c>
      <c r="J28" s="229">
        <v>-7.7212104995784383</v>
      </c>
      <c r="K28" s="229">
        <v>-7.3148309996006251</v>
      </c>
      <c r="L28" s="229">
        <v>-2.4382769998668752</v>
      </c>
      <c r="M28" s="229">
        <v>-2.4382769998668752</v>
      </c>
      <c r="N28" s="229">
        <v>-2.0318974998890624</v>
      </c>
      <c r="O28" s="230">
        <v>-43.88898599760374</v>
      </c>
    </row>
    <row r="29" spans="1:15" ht="13" x14ac:dyDescent="0.3">
      <c r="A29" s="214"/>
      <c r="B29" s="93" t="s">
        <v>27</v>
      </c>
      <c r="C29" s="228">
        <v>-32.155233672896145</v>
      </c>
      <c r="D29" s="229">
        <v>-26.796028060746785</v>
      </c>
      <c r="E29" s="229">
        <v>-26.796028060746785</v>
      </c>
      <c r="F29" s="229">
        <v>-37.514439285045512</v>
      </c>
      <c r="G29" s="229">
        <v>-21.436822448597429</v>
      </c>
      <c r="H29" s="229">
        <v>-75.028878570091024</v>
      </c>
      <c r="I29" s="229">
        <v>-69.669672957941657</v>
      </c>
      <c r="J29" s="229">
        <v>-101.82490663083777</v>
      </c>
      <c r="K29" s="229">
        <v>-96.465701018688421</v>
      </c>
      <c r="L29" s="229">
        <v>-32.155233672896145</v>
      </c>
      <c r="M29" s="229">
        <v>-32.155233672896145</v>
      </c>
      <c r="N29" s="229">
        <v>-26.796028060746785</v>
      </c>
      <c r="O29" s="230">
        <v>-578.79420611213061</v>
      </c>
    </row>
    <row r="30" spans="1:15" x14ac:dyDescent="0.25">
      <c r="A30" s="214"/>
      <c r="B30" s="93" t="s">
        <v>48</v>
      </c>
      <c r="C30" s="94">
        <v>105.20833505193664</v>
      </c>
      <c r="D30" s="82">
        <v>87.673612543280527</v>
      </c>
      <c r="E30" s="82">
        <v>87.673612543280527</v>
      </c>
      <c r="F30" s="82">
        <v>122.74305756059275</v>
      </c>
      <c r="G30" s="82">
        <v>70.138890034624424</v>
      </c>
      <c r="H30" s="82">
        <v>245.48611512118549</v>
      </c>
      <c r="I30" s="82">
        <v>227.95139261252939</v>
      </c>
      <c r="J30" s="82">
        <v>333.159727664466</v>
      </c>
      <c r="K30" s="82">
        <v>315.6250051558099</v>
      </c>
      <c r="L30" s="82">
        <v>105.20833505193664</v>
      </c>
      <c r="M30" s="82">
        <v>105.20833505193664</v>
      </c>
      <c r="N30" s="82">
        <v>87.673612543280527</v>
      </c>
      <c r="O30" s="95">
        <v>1893.7500309348595</v>
      </c>
    </row>
    <row r="31" spans="1:15" x14ac:dyDescent="0.25">
      <c r="A31" s="214"/>
      <c r="B31" s="93" t="s">
        <v>86</v>
      </c>
      <c r="C31" s="94">
        <v>0</v>
      </c>
      <c r="D31" s="82">
        <v>0</v>
      </c>
      <c r="E31" s="82">
        <v>0</v>
      </c>
      <c r="F31" s="82">
        <v>0</v>
      </c>
      <c r="G31" s="82">
        <v>0</v>
      </c>
      <c r="H31" s="82">
        <v>0</v>
      </c>
      <c r="I31" s="82">
        <v>0</v>
      </c>
      <c r="J31" s="82">
        <v>0</v>
      </c>
      <c r="K31" s="82">
        <v>0</v>
      </c>
      <c r="L31" s="82">
        <v>0</v>
      </c>
      <c r="M31" s="82">
        <v>0</v>
      </c>
      <c r="N31" s="82">
        <v>0</v>
      </c>
      <c r="O31" s="95">
        <v>0</v>
      </c>
    </row>
    <row r="32" spans="1:15" x14ac:dyDescent="0.25">
      <c r="A32" s="214"/>
      <c r="B32" s="93" t="s">
        <v>88</v>
      </c>
      <c r="C32" s="94">
        <v>0</v>
      </c>
      <c r="D32" s="82">
        <v>0</v>
      </c>
      <c r="E32" s="82">
        <v>0</v>
      </c>
      <c r="F32" s="82">
        <v>0</v>
      </c>
      <c r="G32" s="82">
        <v>0</v>
      </c>
      <c r="H32" s="82">
        <v>0</v>
      </c>
      <c r="I32" s="82">
        <v>0</v>
      </c>
      <c r="J32" s="82">
        <v>0</v>
      </c>
      <c r="K32" s="82">
        <v>0</v>
      </c>
      <c r="L32" s="82">
        <v>0</v>
      </c>
      <c r="M32" s="82">
        <v>0</v>
      </c>
      <c r="N32" s="82">
        <v>0</v>
      </c>
      <c r="O32" s="95">
        <v>0</v>
      </c>
    </row>
    <row r="33" spans="1:15" x14ac:dyDescent="0.25">
      <c r="A33" s="83" t="s">
        <v>16</v>
      </c>
      <c r="B33" s="83" t="s">
        <v>69</v>
      </c>
      <c r="C33" s="90">
        <v>50.327585585938245</v>
      </c>
      <c r="D33" s="91">
        <v>62.909481982422804</v>
      </c>
      <c r="E33" s="91">
        <v>12.581896396484561</v>
      </c>
      <c r="F33" s="91">
        <v>88.073274775391923</v>
      </c>
      <c r="G33" s="91">
        <v>37.745689189453685</v>
      </c>
      <c r="H33" s="91">
        <v>88.073274775391923</v>
      </c>
      <c r="I33" s="91">
        <v>62.909481982422804</v>
      </c>
      <c r="J33" s="91">
        <v>62.909481982422804</v>
      </c>
      <c r="K33" s="91">
        <v>75.49137837890737</v>
      </c>
      <c r="L33" s="91">
        <v>62.909481982422804</v>
      </c>
      <c r="M33" s="91">
        <v>50.327585585938245</v>
      </c>
      <c r="N33" s="91">
        <v>50.327585585938245</v>
      </c>
      <c r="O33" s="92">
        <v>704.58619820313527</v>
      </c>
    </row>
    <row r="34" spans="1:15" ht="13" x14ac:dyDescent="0.3">
      <c r="A34" s="214"/>
      <c r="B34" s="93" t="s">
        <v>25</v>
      </c>
      <c r="C34" s="228">
        <v>-19.81130444868618</v>
      </c>
      <c r="D34" s="229">
        <v>-24.764130560857723</v>
      </c>
      <c r="E34" s="229">
        <v>-4.9528261121715449</v>
      </c>
      <c r="F34" s="229">
        <v>-34.669782785200823</v>
      </c>
      <c r="G34" s="229">
        <v>-14.858478336514636</v>
      </c>
      <c r="H34" s="229">
        <v>-34.669782785200823</v>
      </c>
      <c r="I34" s="229">
        <v>-24.764130560857723</v>
      </c>
      <c r="J34" s="229">
        <v>-24.764130560857723</v>
      </c>
      <c r="K34" s="229">
        <v>-29.716956673029273</v>
      </c>
      <c r="L34" s="229">
        <v>-24.764130560857723</v>
      </c>
      <c r="M34" s="229">
        <v>-19.81130444868618</v>
      </c>
      <c r="N34" s="229">
        <v>-19.81130444868618</v>
      </c>
      <c r="O34" s="230">
        <v>-277.35826228160653</v>
      </c>
    </row>
    <row r="35" spans="1:15" ht="13" x14ac:dyDescent="0.3">
      <c r="A35" s="214"/>
      <c r="B35" s="93" t="s">
        <v>26</v>
      </c>
      <c r="C35" s="228">
        <v>-1.6255179999112499</v>
      </c>
      <c r="D35" s="229">
        <v>-2.0318974998890624</v>
      </c>
      <c r="E35" s="229">
        <v>-0.40637949997781248</v>
      </c>
      <c r="F35" s="229">
        <v>-2.8446564998446875</v>
      </c>
      <c r="G35" s="229">
        <v>-1.2191384999334376</v>
      </c>
      <c r="H35" s="229">
        <v>-2.8446564998446875</v>
      </c>
      <c r="I35" s="229">
        <v>-2.0318974998890624</v>
      </c>
      <c r="J35" s="229">
        <v>-2.0318974998890624</v>
      </c>
      <c r="K35" s="229">
        <v>-2.4382769998668752</v>
      </c>
      <c r="L35" s="229">
        <v>-2.0318974998890624</v>
      </c>
      <c r="M35" s="229">
        <v>-1.6255179999112499</v>
      </c>
      <c r="N35" s="229">
        <v>-1.6255179999112499</v>
      </c>
      <c r="O35" s="230">
        <v>-22.757251998757496</v>
      </c>
    </row>
    <row r="36" spans="1:15" ht="13" x14ac:dyDescent="0.3">
      <c r="A36" s="214"/>
      <c r="B36" s="93" t="s">
        <v>27</v>
      </c>
      <c r="C36" s="228">
        <v>-21.436822448597429</v>
      </c>
      <c r="D36" s="229">
        <v>-26.796028060746785</v>
      </c>
      <c r="E36" s="229">
        <v>-5.3592056121493572</v>
      </c>
      <c r="F36" s="229">
        <v>-37.514439285045512</v>
      </c>
      <c r="G36" s="229">
        <v>-16.077616836448072</v>
      </c>
      <c r="H36" s="229">
        <v>-37.514439285045512</v>
      </c>
      <c r="I36" s="229">
        <v>-26.796028060746785</v>
      </c>
      <c r="J36" s="229">
        <v>-26.796028060746785</v>
      </c>
      <c r="K36" s="229">
        <v>-32.155233672896145</v>
      </c>
      <c r="L36" s="229">
        <v>-26.796028060746785</v>
      </c>
      <c r="M36" s="229">
        <v>-21.436822448597429</v>
      </c>
      <c r="N36" s="229">
        <v>-21.436822448597429</v>
      </c>
      <c r="O36" s="230">
        <v>-300.11551428036398</v>
      </c>
    </row>
    <row r="37" spans="1:15" x14ac:dyDescent="0.25">
      <c r="A37" s="214"/>
      <c r="B37" s="93" t="s">
        <v>48</v>
      </c>
      <c r="C37" s="94">
        <v>70.138890034624424</v>
      </c>
      <c r="D37" s="82">
        <v>87.673612543280527</v>
      </c>
      <c r="E37" s="82">
        <v>17.534722508656106</v>
      </c>
      <c r="F37" s="82">
        <v>122.74305756059275</v>
      </c>
      <c r="G37" s="82">
        <v>52.604167525968322</v>
      </c>
      <c r="H37" s="82">
        <v>122.74305756059275</v>
      </c>
      <c r="I37" s="82">
        <v>87.673612543280527</v>
      </c>
      <c r="J37" s="82">
        <v>87.673612543280527</v>
      </c>
      <c r="K37" s="82">
        <v>105.20833505193664</v>
      </c>
      <c r="L37" s="82">
        <v>87.673612543280527</v>
      </c>
      <c r="M37" s="82">
        <v>70.138890034624424</v>
      </c>
      <c r="N37" s="82">
        <v>70.138890034624424</v>
      </c>
      <c r="O37" s="95">
        <v>981.94446048474197</v>
      </c>
    </row>
    <row r="38" spans="1:15" x14ac:dyDescent="0.25">
      <c r="A38" s="214"/>
      <c r="B38" s="93" t="s">
        <v>86</v>
      </c>
      <c r="C38" s="94">
        <v>0</v>
      </c>
      <c r="D38" s="82">
        <v>0</v>
      </c>
      <c r="E38" s="82">
        <v>0</v>
      </c>
      <c r="F38" s="82">
        <v>0</v>
      </c>
      <c r="G38" s="82">
        <v>0</v>
      </c>
      <c r="H38" s="82">
        <v>0</v>
      </c>
      <c r="I38" s="82">
        <v>0</v>
      </c>
      <c r="J38" s="82">
        <v>0</v>
      </c>
      <c r="K38" s="82">
        <v>0</v>
      </c>
      <c r="L38" s="82">
        <v>0</v>
      </c>
      <c r="M38" s="82">
        <v>0</v>
      </c>
      <c r="N38" s="82">
        <v>0</v>
      </c>
      <c r="O38" s="95">
        <v>0</v>
      </c>
    </row>
    <row r="39" spans="1:15" x14ac:dyDescent="0.25">
      <c r="A39" s="214"/>
      <c r="B39" s="93" t="s">
        <v>88</v>
      </c>
      <c r="C39" s="94">
        <v>0</v>
      </c>
      <c r="D39" s="82">
        <v>0</v>
      </c>
      <c r="E39" s="82">
        <v>0</v>
      </c>
      <c r="F39" s="82">
        <v>0</v>
      </c>
      <c r="G39" s="82">
        <v>0</v>
      </c>
      <c r="H39" s="82">
        <v>0</v>
      </c>
      <c r="I39" s="82">
        <v>0</v>
      </c>
      <c r="J39" s="82">
        <v>0</v>
      </c>
      <c r="K39" s="82">
        <v>0</v>
      </c>
      <c r="L39" s="82">
        <v>0</v>
      </c>
      <c r="M39" s="82">
        <v>0</v>
      </c>
      <c r="N39" s="82">
        <v>0</v>
      </c>
      <c r="O39" s="95">
        <v>0</v>
      </c>
    </row>
    <row r="40" spans="1:15" x14ac:dyDescent="0.25">
      <c r="A40" s="83" t="s">
        <v>19</v>
      </c>
      <c r="B40" s="83" t="s">
        <v>69</v>
      </c>
      <c r="C40" s="90">
        <v>792.65947297852733</v>
      </c>
      <c r="D40" s="91">
        <v>792.65947297852733</v>
      </c>
      <c r="E40" s="91">
        <v>842.98705856446554</v>
      </c>
      <c r="F40" s="91">
        <v>780.07757658204275</v>
      </c>
      <c r="G40" s="91">
        <v>641.67671622071259</v>
      </c>
      <c r="H40" s="91">
        <v>842.98705856446554</v>
      </c>
      <c r="I40" s="91">
        <v>830.40516216798108</v>
      </c>
      <c r="J40" s="91">
        <v>767.49568018555829</v>
      </c>
      <c r="K40" s="91">
        <v>692.00430180665091</v>
      </c>
      <c r="L40" s="91">
        <v>742.33188739258912</v>
      </c>
      <c r="M40" s="91">
        <v>792.65947297852733</v>
      </c>
      <c r="N40" s="91">
        <v>792.65947297852733</v>
      </c>
      <c r="O40" s="92">
        <v>9310.6033333985743</v>
      </c>
    </row>
    <row r="41" spans="1:15" ht="13" x14ac:dyDescent="0.3">
      <c r="A41" s="214"/>
      <c r="B41" s="93" t="s">
        <v>25</v>
      </c>
      <c r="C41" s="228">
        <v>-312.02804506680729</v>
      </c>
      <c r="D41" s="229">
        <v>-312.02804506680729</v>
      </c>
      <c r="E41" s="229">
        <v>-331.8393495154935</v>
      </c>
      <c r="F41" s="229">
        <v>-307.07521895463572</v>
      </c>
      <c r="G41" s="229">
        <v>-252.59413172074881</v>
      </c>
      <c r="H41" s="229">
        <v>-331.8393495154935</v>
      </c>
      <c r="I41" s="229">
        <v>-326.88652340332203</v>
      </c>
      <c r="J41" s="229">
        <v>-302.12239284246425</v>
      </c>
      <c r="K41" s="229">
        <v>-272.40543616943489</v>
      </c>
      <c r="L41" s="229">
        <v>-292.21674061812109</v>
      </c>
      <c r="M41" s="229">
        <v>-312.02804506680729</v>
      </c>
      <c r="N41" s="229">
        <v>-312.02804506680729</v>
      </c>
      <c r="O41" s="230">
        <v>-3665.0913230069432</v>
      </c>
    </row>
    <row r="42" spans="1:15" ht="13" x14ac:dyDescent="0.3">
      <c r="A42" s="214"/>
      <c r="B42" s="93" t="s">
        <v>26</v>
      </c>
      <c r="C42" s="228">
        <v>-25.601908498602185</v>
      </c>
      <c r="D42" s="229">
        <v>-25.601908498602185</v>
      </c>
      <c r="E42" s="229">
        <v>-27.227426498513438</v>
      </c>
      <c r="F42" s="229">
        <v>-25.195528998624376</v>
      </c>
      <c r="G42" s="229">
        <v>-20.725354498868438</v>
      </c>
      <c r="H42" s="229">
        <v>-27.227426498513438</v>
      </c>
      <c r="I42" s="229">
        <v>-26.821046998535628</v>
      </c>
      <c r="J42" s="229">
        <v>-24.789149498646562</v>
      </c>
      <c r="K42" s="229">
        <v>-22.35087249877969</v>
      </c>
      <c r="L42" s="229">
        <v>-23.97639049869094</v>
      </c>
      <c r="M42" s="229">
        <v>-25.601908498602185</v>
      </c>
      <c r="N42" s="229">
        <v>-25.601908498602185</v>
      </c>
      <c r="O42" s="230">
        <v>-300.72082998358127</v>
      </c>
    </row>
    <row r="43" spans="1:15" ht="13" x14ac:dyDescent="0.3">
      <c r="A43" s="214"/>
      <c r="B43" s="93" t="s">
        <v>27</v>
      </c>
      <c r="C43" s="228">
        <v>-337.62995356540949</v>
      </c>
      <c r="D43" s="229">
        <v>-337.62995356540949</v>
      </c>
      <c r="E43" s="229">
        <v>-359.0667760140069</v>
      </c>
      <c r="F43" s="229">
        <v>-332.27074795326007</v>
      </c>
      <c r="G43" s="229">
        <v>-273.31948621961726</v>
      </c>
      <c r="H43" s="229">
        <v>-359.0667760140069</v>
      </c>
      <c r="I43" s="229">
        <v>-353.70757040185765</v>
      </c>
      <c r="J43" s="229">
        <v>-326.91154234111082</v>
      </c>
      <c r="K43" s="229">
        <v>-294.75630866821456</v>
      </c>
      <c r="L43" s="229">
        <v>-316.19313111681203</v>
      </c>
      <c r="M43" s="229">
        <v>-337.62995356540949</v>
      </c>
      <c r="N43" s="229">
        <v>-337.62995356540949</v>
      </c>
      <c r="O43" s="230">
        <v>-3965.8121529905234</v>
      </c>
    </row>
    <row r="44" spans="1:15" x14ac:dyDescent="0.25">
      <c r="A44" s="214"/>
      <c r="B44" s="93" t="s">
        <v>48</v>
      </c>
      <c r="C44" s="94">
        <v>1104.6875180453346</v>
      </c>
      <c r="D44" s="82">
        <v>1104.6875180453346</v>
      </c>
      <c r="E44" s="82">
        <v>1174.826408079959</v>
      </c>
      <c r="F44" s="82">
        <v>1087.1527955366785</v>
      </c>
      <c r="G44" s="82">
        <v>894.2708479414614</v>
      </c>
      <c r="H44" s="82">
        <v>1174.826408079959</v>
      </c>
      <c r="I44" s="82">
        <v>1157.2916855713031</v>
      </c>
      <c r="J44" s="82">
        <v>1069.6180730280225</v>
      </c>
      <c r="K44" s="82">
        <v>964.40973797608581</v>
      </c>
      <c r="L44" s="82">
        <v>1034.5486280107102</v>
      </c>
      <c r="M44" s="82">
        <v>1104.6875180453346</v>
      </c>
      <c r="N44" s="82">
        <v>1104.6875180453346</v>
      </c>
      <c r="O44" s="95">
        <v>12975.69465640552</v>
      </c>
    </row>
    <row r="45" spans="1:15" x14ac:dyDescent="0.25">
      <c r="A45" s="214"/>
      <c r="B45" s="93" t="s">
        <v>86</v>
      </c>
      <c r="C45" s="94">
        <v>0</v>
      </c>
      <c r="D45" s="82">
        <v>0</v>
      </c>
      <c r="E45" s="82">
        <v>0</v>
      </c>
      <c r="F45" s="82">
        <v>0</v>
      </c>
      <c r="G45" s="82">
        <v>0</v>
      </c>
      <c r="H45" s="82">
        <v>0</v>
      </c>
      <c r="I45" s="82">
        <v>0</v>
      </c>
      <c r="J45" s="82">
        <v>0</v>
      </c>
      <c r="K45" s="82">
        <v>0</v>
      </c>
      <c r="L45" s="82">
        <v>0</v>
      </c>
      <c r="M45" s="82">
        <v>0</v>
      </c>
      <c r="N45" s="82">
        <v>0</v>
      </c>
      <c r="O45" s="95">
        <v>0</v>
      </c>
    </row>
    <row r="46" spans="1:15" x14ac:dyDescent="0.25">
      <c r="A46" s="214"/>
      <c r="B46" s="93" t="s">
        <v>88</v>
      </c>
      <c r="C46" s="94">
        <v>0</v>
      </c>
      <c r="D46" s="82">
        <v>0</v>
      </c>
      <c r="E46" s="82">
        <v>0</v>
      </c>
      <c r="F46" s="82">
        <v>0</v>
      </c>
      <c r="G46" s="82">
        <v>0</v>
      </c>
      <c r="H46" s="82">
        <v>0</v>
      </c>
      <c r="I46" s="82">
        <v>0</v>
      </c>
      <c r="J46" s="82">
        <v>0</v>
      </c>
      <c r="K46" s="82">
        <v>0</v>
      </c>
      <c r="L46" s="82">
        <v>0</v>
      </c>
      <c r="M46" s="82">
        <v>0</v>
      </c>
      <c r="N46" s="82">
        <v>0</v>
      </c>
      <c r="O46" s="95">
        <v>0</v>
      </c>
    </row>
    <row r="47" spans="1:15" x14ac:dyDescent="0.25">
      <c r="A47" s="83" t="s">
        <v>8</v>
      </c>
      <c r="B47" s="83" t="s">
        <v>69</v>
      </c>
      <c r="C47" s="90">
        <v>1056.8792973047032</v>
      </c>
      <c r="D47" s="91">
        <v>1044.2974009082186</v>
      </c>
      <c r="E47" s="91">
        <v>956.22412613282665</v>
      </c>
      <c r="F47" s="91">
        <v>868.1508513574347</v>
      </c>
      <c r="G47" s="91">
        <v>1245.6077432519714</v>
      </c>
      <c r="H47" s="91">
        <v>1874.7025630761996</v>
      </c>
      <c r="I47" s="91">
        <v>1862.120666679715</v>
      </c>
      <c r="J47" s="91">
        <v>2013.1034234375297</v>
      </c>
      <c r="K47" s="91">
        <v>1950.1939414551071</v>
      </c>
      <c r="L47" s="91">
        <v>1384.0086036133018</v>
      </c>
      <c r="M47" s="91">
        <v>880.73274775391928</v>
      </c>
      <c r="N47" s="91">
        <v>830.40516216798108</v>
      </c>
      <c r="O47" s="92">
        <v>15966.426527138907</v>
      </c>
    </row>
    <row r="48" spans="1:15" ht="13" x14ac:dyDescent="0.3">
      <c r="A48" s="214"/>
      <c r="B48" s="93" t="s">
        <v>25</v>
      </c>
      <c r="C48" s="228">
        <v>-416.03739342240965</v>
      </c>
      <c r="D48" s="229">
        <v>-411.0845673102383</v>
      </c>
      <c r="E48" s="229">
        <v>-376.41478452503736</v>
      </c>
      <c r="F48" s="229">
        <v>-341.74500173983665</v>
      </c>
      <c r="G48" s="229">
        <v>-490.3297851049831</v>
      </c>
      <c r="H48" s="229">
        <v>-737.97109071356044</v>
      </c>
      <c r="I48" s="229">
        <v>-733.01826460138886</v>
      </c>
      <c r="J48" s="229">
        <v>-792.45217794744713</v>
      </c>
      <c r="K48" s="229">
        <v>-767.68804738658946</v>
      </c>
      <c r="L48" s="229">
        <v>-544.81087233886979</v>
      </c>
      <c r="M48" s="229">
        <v>-346.69782785200823</v>
      </c>
      <c r="N48" s="229">
        <v>-326.88652340332203</v>
      </c>
      <c r="O48" s="230">
        <v>-6285.1363363456903</v>
      </c>
    </row>
    <row r="49" spans="1:15" ht="13" x14ac:dyDescent="0.3">
      <c r="A49" s="214"/>
      <c r="B49" s="93" t="s">
        <v>26</v>
      </c>
      <c r="C49" s="228">
        <v>-34.135877998136252</v>
      </c>
      <c r="D49" s="229">
        <v>-33.729498498158435</v>
      </c>
      <c r="E49" s="229">
        <v>-30.884841998313753</v>
      </c>
      <c r="F49" s="229">
        <v>-28.040185498469064</v>
      </c>
      <c r="G49" s="229">
        <v>-40.231570497803439</v>
      </c>
      <c r="H49" s="229">
        <v>-60.550545496694063</v>
      </c>
      <c r="I49" s="229">
        <v>-60.144165996716247</v>
      </c>
      <c r="J49" s="229">
        <v>-65.020719996449998</v>
      </c>
      <c r="K49" s="229">
        <v>-62.988822496560935</v>
      </c>
      <c r="L49" s="229">
        <v>-44.701744997559381</v>
      </c>
      <c r="M49" s="229">
        <v>-28.446564998446878</v>
      </c>
      <c r="N49" s="229">
        <v>-26.821046998535628</v>
      </c>
      <c r="O49" s="230">
        <v>-515.69558547184408</v>
      </c>
    </row>
    <row r="50" spans="1:15" ht="13" x14ac:dyDescent="0.3">
      <c r="A50" s="214"/>
      <c r="B50" s="93" t="s">
        <v>27</v>
      </c>
      <c r="C50" s="228">
        <v>-450.17327142054592</v>
      </c>
      <c r="D50" s="229">
        <v>-444.81406580839672</v>
      </c>
      <c r="E50" s="229">
        <v>-407.29962652335109</v>
      </c>
      <c r="F50" s="229">
        <v>-369.7851872383057</v>
      </c>
      <c r="G50" s="229">
        <v>-530.56135560278653</v>
      </c>
      <c r="H50" s="229">
        <v>-798.52163621025454</v>
      </c>
      <c r="I50" s="229">
        <v>-793.16243059810506</v>
      </c>
      <c r="J50" s="229">
        <v>-857.47289794389712</v>
      </c>
      <c r="K50" s="229">
        <v>-830.6768698831504</v>
      </c>
      <c r="L50" s="229">
        <v>-589.51261733642912</v>
      </c>
      <c r="M50" s="229">
        <v>-375.14439285045512</v>
      </c>
      <c r="N50" s="229">
        <v>-353.70757040185765</v>
      </c>
      <c r="O50" s="230">
        <v>-6800.8319218175347</v>
      </c>
    </row>
    <row r="51" spans="1:15" x14ac:dyDescent="0.25">
      <c r="A51" s="214"/>
      <c r="B51" s="93" t="s">
        <v>48</v>
      </c>
      <c r="C51" s="94">
        <v>1472.9166907271128</v>
      </c>
      <c r="D51" s="82">
        <v>1455.3819682184569</v>
      </c>
      <c r="E51" s="82">
        <v>1332.638910657864</v>
      </c>
      <c r="F51" s="82">
        <v>1209.8958530972714</v>
      </c>
      <c r="G51" s="82">
        <v>1735.9375283569545</v>
      </c>
      <c r="H51" s="82">
        <v>2612.67365378976</v>
      </c>
      <c r="I51" s="82">
        <v>2595.1389312811039</v>
      </c>
      <c r="J51" s="82">
        <v>2805.5556013849769</v>
      </c>
      <c r="K51" s="82">
        <v>2717.8819888416965</v>
      </c>
      <c r="L51" s="82">
        <v>1928.8194759521716</v>
      </c>
      <c r="M51" s="82">
        <v>1227.4305756059275</v>
      </c>
      <c r="N51" s="82">
        <v>1157.2916855713031</v>
      </c>
      <c r="O51" s="95">
        <v>22251.5628634846</v>
      </c>
    </row>
    <row r="52" spans="1:15" x14ac:dyDescent="0.25">
      <c r="A52" s="214"/>
      <c r="B52" s="93" t="s">
        <v>86</v>
      </c>
      <c r="C52" s="94">
        <v>0</v>
      </c>
      <c r="D52" s="82">
        <v>0</v>
      </c>
      <c r="E52" s="82">
        <v>0</v>
      </c>
      <c r="F52" s="82">
        <v>0</v>
      </c>
      <c r="G52" s="82">
        <v>0</v>
      </c>
      <c r="H52" s="82">
        <v>0</v>
      </c>
      <c r="I52" s="82">
        <v>0</v>
      </c>
      <c r="J52" s="82">
        <v>0</v>
      </c>
      <c r="K52" s="82">
        <v>0</v>
      </c>
      <c r="L52" s="82">
        <v>0</v>
      </c>
      <c r="M52" s="82">
        <v>0</v>
      </c>
      <c r="N52" s="82">
        <v>0</v>
      </c>
      <c r="O52" s="95">
        <v>0</v>
      </c>
    </row>
    <row r="53" spans="1:15" x14ac:dyDescent="0.25">
      <c r="A53" s="214"/>
      <c r="B53" s="93" t="s">
        <v>88</v>
      </c>
      <c r="C53" s="94">
        <v>0</v>
      </c>
      <c r="D53" s="82">
        <v>0</v>
      </c>
      <c r="E53" s="82">
        <v>0</v>
      </c>
      <c r="F53" s="82">
        <v>0</v>
      </c>
      <c r="G53" s="82">
        <v>0</v>
      </c>
      <c r="H53" s="82">
        <v>0</v>
      </c>
      <c r="I53" s="82">
        <v>0</v>
      </c>
      <c r="J53" s="82">
        <v>0</v>
      </c>
      <c r="K53" s="82">
        <v>0</v>
      </c>
      <c r="L53" s="82">
        <v>0</v>
      </c>
      <c r="M53" s="82">
        <v>0</v>
      </c>
      <c r="N53" s="82">
        <v>0</v>
      </c>
      <c r="O53" s="95">
        <v>0</v>
      </c>
    </row>
    <row r="54" spans="1:15" x14ac:dyDescent="0.25">
      <c r="A54" s="83" t="s">
        <v>21</v>
      </c>
      <c r="B54" s="83" t="s">
        <v>69</v>
      </c>
      <c r="C54" s="90">
        <v>35355.128874121619</v>
      </c>
      <c r="D54" s="91">
        <v>34864.434914658719</v>
      </c>
      <c r="E54" s="91">
        <v>30058.150491201617</v>
      </c>
      <c r="F54" s="91">
        <v>30095.896180391072</v>
      </c>
      <c r="G54" s="91">
        <v>40652.107257041615</v>
      </c>
      <c r="H54" s="91">
        <v>51585.775225586702</v>
      </c>
      <c r="I54" s="91">
        <v>50176.602829180432</v>
      </c>
      <c r="J54" s="91">
        <v>53661.788131006651</v>
      </c>
      <c r="K54" s="91">
        <v>50528.895928282</v>
      </c>
      <c r="L54" s="91">
        <v>39066.788311084565</v>
      </c>
      <c r="M54" s="91">
        <v>31618.305644365701</v>
      </c>
      <c r="N54" s="91">
        <v>31127.611684902804</v>
      </c>
      <c r="O54" s="92">
        <v>478791.48547182349</v>
      </c>
    </row>
    <row r="55" spans="1:15" ht="13" x14ac:dyDescent="0.3">
      <c r="A55" s="214"/>
      <c r="B55" s="93" t="s">
        <v>25</v>
      </c>
      <c r="C55" s="228">
        <v>-13917.441375202041</v>
      </c>
      <c r="D55" s="229">
        <v>-13724.281156827354</v>
      </c>
      <c r="E55" s="229">
        <v>-11832.301581977823</v>
      </c>
      <c r="F55" s="229">
        <v>-11847.160060314331</v>
      </c>
      <c r="G55" s="229">
        <v>-16002.581168426266</v>
      </c>
      <c r="H55" s="229">
        <v>-20306.58705990333</v>
      </c>
      <c r="I55" s="229">
        <v>-19751.870535340124</v>
      </c>
      <c r="J55" s="229">
        <v>-21123.803368411645</v>
      </c>
      <c r="K55" s="229">
        <v>-19890.549666480918</v>
      </c>
      <c r="L55" s="229">
        <v>-15378.525078292645</v>
      </c>
      <c r="M55" s="229">
        <v>-12446.452019887092</v>
      </c>
      <c r="N55" s="229">
        <v>-12253.291801512401</v>
      </c>
      <c r="O55" s="230">
        <v>-188474.84487257601</v>
      </c>
    </row>
    <row r="56" spans="1:15" ht="13" x14ac:dyDescent="0.3">
      <c r="A56" s="214"/>
      <c r="B56" s="93" t="s">
        <v>26</v>
      </c>
      <c r="C56" s="228">
        <v>-1141.9263949376532</v>
      </c>
      <c r="D56" s="229">
        <v>-1126.0775944385184</v>
      </c>
      <c r="E56" s="229">
        <v>-970.84062544699418</v>
      </c>
      <c r="F56" s="229">
        <v>-972.05976394692755</v>
      </c>
      <c r="G56" s="229">
        <v>-1313.0121644283122</v>
      </c>
      <c r="H56" s="229">
        <v>-1666.1559499090313</v>
      </c>
      <c r="I56" s="229">
        <v>-1620.6414459115163</v>
      </c>
      <c r="J56" s="229">
        <v>-1733.2085674053703</v>
      </c>
      <c r="K56" s="229">
        <v>-1632.0200719108952</v>
      </c>
      <c r="L56" s="229">
        <v>-1261.8083474311079</v>
      </c>
      <c r="M56" s="229">
        <v>-1021.2316834442429</v>
      </c>
      <c r="N56" s="229">
        <v>-1005.3828829451081</v>
      </c>
      <c r="O56" s="230">
        <v>-15464.365492155679</v>
      </c>
    </row>
    <row r="57" spans="1:15" ht="13" x14ac:dyDescent="0.3">
      <c r="A57" s="214"/>
      <c r="B57" s="93" t="s">
        <v>27</v>
      </c>
      <c r="C57" s="228">
        <v>-15059.367770139694</v>
      </c>
      <c r="D57" s="229">
        <v>-14850.358751265872</v>
      </c>
      <c r="E57" s="229">
        <v>-12803.142207424817</v>
      </c>
      <c r="F57" s="229">
        <v>-12819.219824261258</v>
      </c>
      <c r="G57" s="229">
        <v>-17315.59333285458</v>
      </c>
      <c r="H57" s="229">
        <v>-21972.743009812362</v>
      </c>
      <c r="I57" s="229">
        <v>-21372.511981251639</v>
      </c>
      <c r="J57" s="229">
        <v>-22857.011935817016</v>
      </c>
      <c r="K57" s="229">
        <v>-21522.569738391812</v>
      </c>
      <c r="L57" s="229">
        <v>-16640.333425723751</v>
      </c>
      <c r="M57" s="229">
        <v>-13467.683703331335</v>
      </c>
      <c r="N57" s="229">
        <v>-13258.67468445751</v>
      </c>
      <c r="O57" s="230">
        <v>-203939.21036473164</v>
      </c>
    </row>
    <row r="58" spans="1:15" x14ac:dyDescent="0.25">
      <c r="A58" s="214"/>
      <c r="B58" s="93" t="s">
        <v>48</v>
      </c>
      <c r="C58" s="94">
        <v>49272.57024932366</v>
      </c>
      <c r="D58" s="82">
        <v>48588.716071486073</v>
      </c>
      <c r="E58" s="82">
        <v>41890.45207317944</v>
      </c>
      <c r="F58" s="82">
        <v>41943.056240705402</v>
      </c>
      <c r="G58" s="82">
        <v>56654.688425467881</v>
      </c>
      <c r="H58" s="82">
        <v>71892.362285490031</v>
      </c>
      <c r="I58" s="82">
        <v>69928.473364520556</v>
      </c>
      <c r="J58" s="82">
        <v>74785.591499418297</v>
      </c>
      <c r="K58" s="82">
        <v>70419.445594762918</v>
      </c>
      <c r="L58" s="82">
        <v>54445.31338937721</v>
      </c>
      <c r="M58" s="82">
        <v>44064.757664252793</v>
      </c>
      <c r="N58" s="82">
        <v>43380.903486415205</v>
      </c>
      <c r="O58" s="95">
        <v>667266.33034439932</v>
      </c>
    </row>
    <row r="59" spans="1:15" x14ac:dyDescent="0.25">
      <c r="A59" s="214"/>
      <c r="B59" s="93" t="s">
        <v>86</v>
      </c>
      <c r="C59" s="94">
        <v>0</v>
      </c>
      <c r="D59" s="82">
        <v>0</v>
      </c>
      <c r="E59" s="82">
        <v>0</v>
      </c>
      <c r="F59" s="82">
        <v>0</v>
      </c>
      <c r="G59" s="82">
        <v>0</v>
      </c>
      <c r="H59" s="82">
        <v>0</v>
      </c>
      <c r="I59" s="82">
        <v>0</v>
      </c>
      <c r="J59" s="82">
        <v>0</v>
      </c>
      <c r="K59" s="82">
        <v>0</v>
      </c>
      <c r="L59" s="82">
        <v>0</v>
      </c>
      <c r="M59" s="82">
        <v>0</v>
      </c>
      <c r="N59" s="82">
        <v>0</v>
      </c>
      <c r="O59" s="95">
        <v>0</v>
      </c>
    </row>
    <row r="60" spans="1:15" x14ac:dyDescent="0.25">
      <c r="A60" s="214"/>
      <c r="B60" s="93" t="s">
        <v>88</v>
      </c>
      <c r="C60" s="94">
        <v>0</v>
      </c>
      <c r="D60" s="82">
        <v>0</v>
      </c>
      <c r="E60" s="82">
        <v>0</v>
      </c>
      <c r="F60" s="82">
        <v>0</v>
      </c>
      <c r="G60" s="82">
        <v>0</v>
      </c>
      <c r="H60" s="82">
        <v>0</v>
      </c>
      <c r="I60" s="82">
        <v>0</v>
      </c>
      <c r="J60" s="82">
        <v>0</v>
      </c>
      <c r="K60" s="82">
        <v>0</v>
      </c>
      <c r="L60" s="82">
        <v>0</v>
      </c>
      <c r="M60" s="82">
        <v>0</v>
      </c>
      <c r="N60" s="82">
        <v>0</v>
      </c>
      <c r="O60" s="95">
        <v>0</v>
      </c>
    </row>
    <row r="61" spans="1:15" x14ac:dyDescent="0.25">
      <c r="A61" s="83" t="s">
        <v>22</v>
      </c>
      <c r="B61" s="83" t="s">
        <v>69</v>
      </c>
      <c r="C61" s="90">
        <v>34273.085784023948</v>
      </c>
      <c r="D61" s="91">
        <v>34688.288365107932</v>
      </c>
      <c r="E61" s="91">
        <v>33228.788383115723</v>
      </c>
      <c r="F61" s="91">
        <v>30410.443590303184</v>
      </c>
      <c r="G61" s="91">
        <v>35782.913351602088</v>
      </c>
      <c r="H61" s="91">
        <v>44036.637387695962</v>
      </c>
      <c r="I61" s="91">
        <v>44904.7882390534</v>
      </c>
      <c r="J61" s="91">
        <v>47383.421829160856</v>
      </c>
      <c r="K61" s="91">
        <v>43483.033946250645</v>
      </c>
      <c r="L61" s="91">
        <v>35355.128874121619</v>
      </c>
      <c r="M61" s="91">
        <v>31442.159094814917</v>
      </c>
      <c r="N61" s="91">
        <v>31857.361675898908</v>
      </c>
      <c r="O61" s="92">
        <v>446846.05052114918</v>
      </c>
    </row>
    <row r="62" spans="1:15" ht="13" x14ac:dyDescent="0.3">
      <c r="A62" s="214"/>
      <c r="B62" s="93" t="s">
        <v>25</v>
      </c>
      <c r="C62" s="228">
        <v>-13491.498329555288</v>
      </c>
      <c r="D62" s="229">
        <v>-13654.941591256953</v>
      </c>
      <c r="E62" s="229">
        <v>-13080.413762245051</v>
      </c>
      <c r="F62" s="229">
        <v>-11970.980713118624</v>
      </c>
      <c r="G62" s="229">
        <v>-14085.83746301588</v>
      </c>
      <c r="H62" s="229">
        <v>-17334.89139260041</v>
      </c>
      <c r="I62" s="229">
        <v>-17676.636394340239</v>
      </c>
      <c r="J62" s="229">
        <v>-18652.343138438038</v>
      </c>
      <c r="K62" s="229">
        <v>-17116.967043664859</v>
      </c>
      <c r="L62" s="229">
        <v>-13917.441375202041</v>
      </c>
      <c r="M62" s="229">
        <v>-12377.112454316695</v>
      </c>
      <c r="N62" s="229">
        <v>-12540.555716018353</v>
      </c>
      <c r="O62" s="230">
        <v>-175899.61937377241</v>
      </c>
    </row>
    <row r="63" spans="1:15" ht="13" x14ac:dyDescent="0.3">
      <c r="A63" s="214"/>
      <c r="B63" s="93" t="s">
        <v>26</v>
      </c>
      <c r="C63" s="228">
        <v>-1106.9777579395613</v>
      </c>
      <c r="D63" s="229">
        <v>-1120.3882814388292</v>
      </c>
      <c r="E63" s="229">
        <v>-1073.2482594414028</v>
      </c>
      <c r="F63" s="229">
        <v>-982.21925144637282</v>
      </c>
      <c r="G63" s="229">
        <v>-1155.7432979368987</v>
      </c>
      <c r="H63" s="229">
        <v>-1422.3282499223437</v>
      </c>
      <c r="I63" s="229">
        <v>-1450.3684354208131</v>
      </c>
      <c r="J63" s="229">
        <v>-1530.4251969164418</v>
      </c>
      <c r="K63" s="229">
        <v>-1404.4475519233201</v>
      </c>
      <c r="L63" s="229">
        <v>-1141.9263949376532</v>
      </c>
      <c r="M63" s="229">
        <v>-1015.5423704445535</v>
      </c>
      <c r="N63" s="229">
        <v>-1028.9528939438212</v>
      </c>
      <c r="O63" s="230">
        <v>-14432.567941712008</v>
      </c>
    </row>
    <row r="64" spans="1:15" ht="13" x14ac:dyDescent="0.3">
      <c r="A64" s="214"/>
      <c r="B64" s="93" t="s">
        <v>27</v>
      </c>
      <c r="C64" s="228">
        <v>-14598.47608749485</v>
      </c>
      <c r="D64" s="229">
        <v>-14775.329872695782</v>
      </c>
      <c r="E64" s="229">
        <v>-14153.662021686454</v>
      </c>
      <c r="F64" s="229">
        <v>-12953.199964564998</v>
      </c>
      <c r="G64" s="229">
        <v>-15241.580760952778</v>
      </c>
      <c r="H64" s="229">
        <v>-18757.219642522752</v>
      </c>
      <c r="I64" s="229">
        <v>-19127.004829761052</v>
      </c>
      <c r="J64" s="229">
        <v>-20182.768335354482</v>
      </c>
      <c r="K64" s="229">
        <v>-18521.41459558818</v>
      </c>
      <c r="L64" s="229">
        <v>-15059.367770139694</v>
      </c>
      <c r="M64" s="229">
        <v>-13392.654824761248</v>
      </c>
      <c r="N64" s="229">
        <v>-13569.508609962173</v>
      </c>
      <c r="O64" s="230">
        <v>-190332.18731548442</v>
      </c>
    </row>
    <row r="65" spans="1:15" x14ac:dyDescent="0.25">
      <c r="A65" s="214"/>
      <c r="B65" s="93" t="s">
        <v>48</v>
      </c>
      <c r="C65" s="94">
        <v>47764.584113579236</v>
      </c>
      <c r="D65" s="82">
        <v>48343.229956364885</v>
      </c>
      <c r="E65" s="82">
        <v>46309.202145360774</v>
      </c>
      <c r="F65" s="82">
        <v>42381.424303421809</v>
      </c>
      <c r="G65" s="82">
        <v>49868.750814617968</v>
      </c>
      <c r="H65" s="82">
        <v>61371.528780296372</v>
      </c>
      <c r="I65" s="82">
        <v>62581.424633393639</v>
      </c>
      <c r="J65" s="82">
        <v>66035.764967598894</v>
      </c>
      <c r="K65" s="82">
        <v>60600.000989915505</v>
      </c>
      <c r="L65" s="82">
        <v>49272.57024932366</v>
      </c>
      <c r="M65" s="82">
        <v>43819.271549131612</v>
      </c>
      <c r="N65" s="82">
        <v>44397.917391917261</v>
      </c>
      <c r="O65" s="95">
        <v>622745.66989492159</v>
      </c>
    </row>
    <row r="66" spans="1:15" x14ac:dyDescent="0.25">
      <c r="A66" s="214"/>
      <c r="B66" s="93" t="s">
        <v>86</v>
      </c>
      <c r="C66" s="94">
        <v>0</v>
      </c>
      <c r="D66" s="82">
        <v>0</v>
      </c>
      <c r="E66" s="82">
        <v>0</v>
      </c>
      <c r="F66" s="82">
        <v>0</v>
      </c>
      <c r="G66" s="82">
        <v>0</v>
      </c>
      <c r="H66" s="82">
        <v>0</v>
      </c>
      <c r="I66" s="82">
        <v>0</v>
      </c>
      <c r="J66" s="82">
        <v>0</v>
      </c>
      <c r="K66" s="82">
        <v>0</v>
      </c>
      <c r="L66" s="82">
        <v>0</v>
      </c>
      <c r="M66" s="82">
        <v>0</v>
      </c>
      <c r="N66" s="82">
        <v>0</v>
      </c>
      <c r="O66" s="95">
        <v>0</v>
      </c>
    </row>
    <row r="67" spans="1:15" x14ac:dyDescent="0.25">
      <c r="A67" s="214"/>
      <c r="B67" s="93" t="s">
        <v>88</v>
      </c>
      <c r="C67" s="94">
        <v>0</v>
      </c>
      <c r="D67" s="82">
        <v>0</v>
      </c>
      <c r="E67" s="82">
        <v>0</v>
      </c>
      <c r="F67" s="82">
        <v>0</v>
      </c>
      <c r="G67" s="82">
        <v>0</v>
      </c>
      <c r="H67" s="82">
        <v>0</v>
      </c>
      <c r="I67" s="82">
        <v>0</v>
      </c>
      <c r="J67" s="82">
        <v>0</v>
      </c>
      <c r="K67" s="82">
        <v>0</v>
      </c>
      <c r="L67" s="82">
        <v>0</v>
      </c>
      <c r="M67" s="82">
        <v>0</v>
      </c>
      <c r="N67" s="82">
        <v>0</v>
      </c>
      <c r="O67" s="95">
        <v>0</v>
      </c>
    </row>
    <row r="68" spans="1:15" x14ac:dyDescent="0.25">
      <c r="A68" s="83" t="s">
        <v>9</v>
      </c>
      <c r="B68" s="83" t="s">
        <v>69</v>
      </c>
      <c r="C68" s="90">
        <v>666.84050901368175</v>
      </c>
      <c r="D68" s="91">
        <v>692.00430180665091</v>
      </c>
      <c r="E68" s="91">
        <v>578.7672342382898</v>
      </c>
      <c r="F68" s="91">
        <v>415.20258108399054</v>
      </c>
      <c r="G68" s="91">
        <v>553.60344144532064</v>
      </c>
      <c r="H68" s="91">
        <v>692.00430180665091</v>
      </c>
      <c r="I68" s="91">
        <v>717.16809459961996</v>
      </c>
      <c r="J68" s="91">
        <v>704.58619820313538</v>
      </c>
      <c r="K68" s="91">
        <v>754.9137837890737</v>
      </c>
      <c r="L68" s="91">
        <v>603.93102703125896</v>
      </c>
      <c r="M68" s="91">
        <v>679.42240541016633</v>
      </c>
      <c r="N68" s="91">
        <v>692.00430180665091</v>
      </c>
      <c r="O68" s="92">
        <v>7750.4481802344899</v>
      </c>
    </row>
    <row r="69" spans="1:15" ht="13" x14ac:dyDescent="0.3">
      <c r="A69" s="214"/>
      <c r="B69" s="93" t="s">
        <v>25</v>
      </c>
      <c r="C69" s="228">
        <v>-262.49978394509185</v>
      </c>
      <c r="D69" s="229">
        <v>-272.40543616943489</v>
      </c>
      <c r="E69" s="229">
        <v>-227.83000115989103</v>
      </c>
      <c r="F69" s="229">
        <v>-163.44326170166102</v>
      </c>
      <c r="G69" s="229">
        <v>-217.92434893554798</v>
      </c>
      <c r="H69" s="229">
        <v>-272.40543616943489</v>
      </c>
      <c r="I69" s="229">
        <v>-282.31108839377805</v>
      </c>
      <c r="J69" s="229">
        <v>-277.35826228160659</v>
      </c>
      <c r="K69" s="229">
        <v>-297.16956673029267</v>
      </c>
      <c r="L69" s="229">
        <v>-237.73565338423418</v>
      </c>
      <c r="M69" s="229">
        <v>-267.45261005726343</v>
      </c>
      <c r="N69" s="229">
        <v>-272.40543616943489</v>
      </c>
      <c r="O69" s="230">
        <v>-3050.9408850976706</v>
      </c>
    </row>
    <row r="70" spans="1:15" ht="13" x14ac:dyDescent="0.3">
      <c r="A70" s="214"/>
      <c r="B70" s="93" t="s">
        <v>26</v>
      </c>
      <c r="C70" s="228">
        <v>-21.538113498824064</v>
      </c>
      <c r="D70" s="229">
        <v>-22.35087249877969</v>
      </c>
      <c r="E70" s="229">
        <v>-18.693456998979375</v>
      </c>
      <c r="F70" s="229">
        <v>-13.410523499267814</v>
      </c>
      <c r="G70" s="229">
        <v>-17.880697999023752</v>
      </c>
      <c r="H70" s="229">
        <v>-22.35087249877969</v>
      </c>
      <c r="I70" s="229">
        <v>-23.163631498735313</v>
      </c>
      <c r="J70" s="229">
        <v>-22.7572519987575</v>
      </c>
      <c r="K70" s="229">
        <v>-24.382769998668749</v>
      </c>
      <c r="L70" s="229">
        <v>-19.506215998935001</v>
      </c>
      <c r="M70" s="229">
        <v>-21.944492998801877</v>
      </c>
      <c r="N70" s="229">
        <v>-22.35087249877969</v>
      </c>
      <c r="O70" s="230">
        <v>-250.32977198633253</v>
      </c>
    </row>
    <row r="71" spans="1:15" ht="13" x14ac:dyDescent="0.3">
      <c r="A71" s="214"/>
      <c r="B71" s="93" t="s">
        <v>27</v>
      </c>
      <c r="C71" s="228">
        <v>-284.03789744391594</v>
      </c>
      <c r="D71" s="229">
        <v>-294.75630866821456</v>
      </c>
      <c r="E71" s="229">
        <v>-246.5234581588704</v>
      </c>
      <c r="F71" s="229">
        <v>-176.85378520092883</v>
      </c>
      <c r="G71" s="229">
        <v>-235.80504693457175</v>
      </c>
      <c r="H71" s="229">
        <v>-294.75630866821456</v>
      </c>
      <c r="I71" s="229">
        <v>-305.47471989251335</v>
      </c>
      <c r="J71" s="229">
        <v>-300.1155142803641</v>
      </c>
      <c r="K71" s="229">
        <v>-321.55233672896145</v>
      </c>
      <c r="L71" s="229">
        <v>-257.24186938316916</v>
      </c>
      <c r="M71" s="229">
        <v>-289.3971030560653</v>
      </c>
      <c r="N71" s="229">
        <v>-294.75630866821456</v>
      </c>
      <c r="O71" s="230">
        <v>-3301.2706570840037</v>
      </c>
    </row>
    <row r="72" spans="1:15" x14ac:dyDescent="0.25">
      <c r="A72" s="214"/>
      <c r="B72" s="93" t="s">
        <v>48</v>
      </c>
      <c r="C72" s="94">
        <v>929.3402929587736</v>
      </c>
      <c r="D72" s="82">
        <v>964.40973797608581</v>
      </c>
      <c r="E72" s="82">
        <v>806.59723539818083</v>
      </c>
      <c r="F72" s="82">
        <v>578.64584278565155</v>
      </c>
      <c r="G72" s="82">
        <v>771.52779038086862</v>
      </c>
      <c r="H72" s="82">
        <v>964.40973797608581</v>
      </c>
      <c r="I72" s="82">
        <v>999.47918299339801</v>
      </c>
      <c r="J72" s="82">
        <v>981.94446048474197</v>
      </c>
      <c r="K72" s="82">
        <v>1052.0833505193664</v>
      </c>
      <c r="L72" s="82">
        <v>841.66668041549315</v>
      </c>
      <c r="M72" s="82">
        <v>946.87501546742976</v>
      </c>
      <c r="N72" s="82">
        <v>964.40973797608581</v>
      </c>
      <c r="O72" s="95">
        <v>10801.389065332161</v>
      </c>
    </row>
    <row r="73" spans="1:15" x14ac:dyDescent="0.25">
      <c r="A73" s="214"/>
      <c r="B73" s="93" t="s">
        <v>86</v>
      </c>
      <c r="C73" s="94">
        <v>0</v>
      </c>
      <c r="D73" s="82">
        <v>0</v>
      </c>
      <c r="E73" s="82">
        <v>0</v>
      </c>
      <c r="F73" s="82">
        <v>0</v>
      </c>
      <c r="G73" s="82">
        <v>0</v>
      </c>
      <c r="H73" s="82">
        <v>0</v>
      </c>
      <c r="I73" s="82">
        <v>0</v>
      </c>
      <c r="J73" s="82">
        <v>0</v>
      </c>
      <c r="K73" s="82">
        <v>0</v>
      </c>
      <c r="L73" s="82">
        <v>0</v>
      </c>
      <c r="M73" s="82">
        <v>0</v>
      </c>
      <c r="N73" s="82">
        <v>0</v>
      </c>
      <c r="O73" s="95">
        <v>0</v>
      </c>
    </row>
    <row r="74" spans="1:15" x14ac:dyDescent="0.25">
      <c r="A74" s="214"/>
      <c r="B74" s="93" t="s">
        <v>88</v>
      </c>
      <c r="C74" s="94">
        <v>0</v>
      </c>
      <c r="D74" s="82">
        <v>0</v>
      </c>
      <c r="E74" s="82">
        <v>0</v>
      </c>
      <c r="F74" s="82">
        <v>0</v>
      </c>
      <c r="G74" s="82">
        <v>0</v>
      </c>
      <c r="H74" s="82">
        <v>0</v>
      </c>
      <c r="I74" s="82">
        <v>0</v>
      </c>
      <c r="J74" s="82">
        <v>0</v>
      </c>
      <c r="K74" s="82">
        <v>0</v>
      </c>
      <c r="L74" s="82">
        <v>0</v>
      </c>
      <c r="M74" s="82">
        <v>0</v>
      </c>
      <c r="N74" s="82">
        <v>0</v>
      </c>
      <c r="O74" s="95">
        <v>0</v>
      </c>
    </row>
    <row r="75" spans="1:15" x14ac:dyDescent="0.25">
      <c r="A75" s="83" t="s">
        <v>53</v>
      </c>
      <c r="B75" s="83" t="s">
        <v>69</v>
      </c>
      <c r="C75" s="90">
        <v>1421.7542928027553</v>
      </c>
      <c r="D75" s="91">
        <v>1358.8448108203327</v>
      </c>
      <c r="E75" s="91">
        <v>1207.8620540625179</v>
      </c>
      <c r="F75" s="91">
        <v>1144.952572080095</v>
      </c>
      <c r="G75" s="91">
        <v>1572.7370495605701</v>
      </c>
      <c r="H75" s="91">
        <v>2101.1766982129216</v>
      </c>
      <c r="I75" s="91">
        <v>2013.1034234375297</v>
      </c>
      <c r="J75" s="91">
        <v>2277.3232477637057</v>
      </c>
      <c r="K75" s="91">
        <v>1975.3577342480762</v>
      </c>
      <c r="L75" s="91">
        <v>1484.6637747851782</v>
      </c>
      <c r="M75" s="91">
        <v>1283.3534324414252</v>
      </c>
      <c r="N75" s="91">
        <v>1245.6077432519714</v>
      </c>
      <c r="O75" s="92">
        <v>19086.736833467075</v>
      </c>
    </row>
    <row r="76" spans="1:15" x14ac:dyDescent="0.25">
      <c r="A76" s="214"/>
      <c r="B76" s="93" t="s">
        <v>25</v>
      </c>
      <c r="C76" s="94">
        <v>-559.66935067538475</v>
      </c>
      <c r="D76" s="82">
        <v>-534.90522011452686</v>
      </c>
      <c r="E76" s="82">
        <v>-475.47130676846837</v>
      </c>
      <c r="F76" s="82">
        <v>-450.7071762076107</v>
      </c>
      <c r="G76" s="82">
        <v>-619.10326402144301</v>
      </c>
      <c r="H76" s="82">
        <v>-827.12196073264795</v>
      </c>
      <c r="I76" s="82">
        <v>-792.45217794744713</v>
      </c>
      <c r="J76" s="82">
        <v>-896.4615263030496</v>
      </c>
      <c r="K76" s="82">
        <v>-777.59369961093262</v>
      </c>
      <c r="L76" s="82">
        <v>-584.43348123624219</v>
      </c>
      <c r="M76" s="82">
        <v>-505.18826344149761</v>
      </c>
      <c r="N76" s="82">
        <v>-490.3297851049831</v>
      </c>
      <c r="O76" s="95">
        <v>-7513.4372121642346</v>
      </c>
    </row>
    <row r="77" spans="1:15" x14ac:dyDescent="0.25">
      <c r="A77" s="214"/>
      <c r="B77" s="93" t="s">
        <v>26</v>
      </c>
      <c r="C77" s="94">
        <v>-45.92088349749281</v>
      </c>
      <c r="D77" s="82">
        <v>-43.888985997603754</v>
      </c>
      <c r="E77" s="82">
        <v>-39.012431997870003</v>
      </c>
      <c r="F77" s="82">
        <v>-36.980534497980941</v>
      </c>
      <c r="G77" s="82">
        <v>-50.797437497226568</v>
      </c>
      <c r="H77" s="82">
        <v>-67.865376496294687</v>
      </c>
      <c r="I77" s="82">
        <v>-65.020719996449998</v>
      </c>
      <c r="J77" s="82">
        <v>-73.554689495984064</v>
      </c>
      <c r="K77" s="82">
        <v>-63.801581496516562</v>
      </c>
      <c r="L77" s="82">
        <v>-47.952780997381879</v>
      </c>
      <c r="M77" s="82">
        <v>-41.450708997736875</v>
      </c>
      <c r="N77" s="82">
        <v>-40.231570497803439</v>
      </c>
      <c r="O77" s="95">
        <v>-616.47770146634161</v>
      </c>
    </row>
    <row r="78" spans="1:15" x14ac:dyDescent="0.25">
      <c r="A78" s="214"/>
      <c r="B78" s="93" t="s">
        <v>27</v>
      </c>
      <c r="C78" s="94">
        <v>-605.59023417287756</v>
      </c>
      <c r="D78" s="82">
        <v>-578.79420611213061</v>
      </c>
      <c r="E78" s="82">
        <v>-514.48373876633832</v>
      </c>
      <c r="F78" s="82">
        <v>-487.68771070559166</v>
      </c>
      <c r="G78" s="82">
        <v>-669.90070151866962</v>
      </c>
      <c r="H78" s="82">
        <v>-894.98733722894258</v>
      </c>
      <c r="I78" s="82">
        <v>-857.47289794389712</v>
      </c>
      <c r="J78" s="82">
        <v>-970.01621579903372</v>
      </c>
      <c r="K78" s="82">
        <v>-841.39528110744914</v>
      </c>
      <c r="L78" s="82">
        <v>-632.38626223362405</v>
      </c>
      <c r="M78" s="82">
        <v>-546.63897243923452</v>
      </c>
      <c r="N78" s="82">
        <v>-530.56135560278653</v>
      </c>
      <c r="O78" s="95">
        <v>-8129.914913630575</v>
      </c>
    </row>
    <row r="79" spans="1:15" x14ac:dyDescent="0.25">
      <c r="A79" s="214"/>
      <c r="B79" s="93" t="s">
        <v>48</v>
      </c>
      <c r="C79" s="94">
        <v>1981.4236434781401</v>
      </c>
      <c r="D79" s="82">
        <v>1893.7500309348595</v>
      </c>
      <c r="E79" s="82">
        <v>1683.3333608309863</v>
      </c>
      <c r="F79" s="82">
        <v>1595.6597482877057</v>
      </c>
      <c r="G79" s="82">
        <v>2191.8403135820131</v>
      </c>
      <c r="H79" s="82">
        <v>2928.2986589455695</v>
      </c>
      <c r="I79" s="82">
        <v>2805.5556013849769</v>
      </c>
      <c r="J79" s="82">
        <v>3173.7847740667553</v>
      </c>
      <c r="K79" s="82">
        <v>2752.9514338590088</v>
      </c>
      <c r="L79" s="82">
        <v>2069.0972560214204</v>
      </c>
      <c r="M79" s="82">
        <v>1788.5416958829228</v>
      </c>
      <c r="N79" s="82">
        <v>1735.9375283569545</v>
      </c>
      <c r="O79" s="95">
        <v>26600.174045631313</v>
      </c>
    </row>
    <row r="80" spans="1:15" x14ac:dyDescent="0.25">
      <c r="A80" s="214"/>
      <c r="B80" s="93" t="s">
        <v>86</v>
      </c>
      <c r="C80" s="94">
        <v>0</v>
      </c>
      <c r="D80" s="82">
        <v>0</v>
      </c>
      <c r="E80" s="82">
        <v>0</v>
      </c>
      <c r="F80" s="82">
        <v>0</v>
      </c>
      <c r="G80" s="82">
        <v>0</v>
      </c>
      <c r="H80" s="82">
        <v>0</v>
      </c>
      <c r="I80" s="82">
        <v>0</v>
      </c>
      <c r="J80" s="82">
        <v>0</v>
      </c>
      <c r="K80" s="82">
        <v>0</v>
      </c>
      <c r="L80" s="82">
        <v>0</v>
      </c>
      <c r="M80" s="82">
        <v>0</v>
      </c>
      <c r="N80" s="82">
        <v>0</v>
      </c>
      <c r="O80" s="95">
        <v>0</v>
      </c>
    </row>
    <row r="81" spans="1:15" x14ac:dyDescent="0.25">
      <c r="A81" s="214"/>
      <c r="B81" s="93" t="s">
        <v>88</v>
      </c>
      <c r="C81" s="94">
        <v>0</v>
      </c>
      <c r="D81" s="82">
        <v>0</v>
      </c>
      <c r="E81" s="82">
        <v>0</v>
      </c>
      <c r="F81" s="82">
        <v>0</v>
      </c>
      <c r="G81" s="82">
        <v>0</v>
      </c>
      <c r="H81" s="82">
        <v>0</v>
      </c>
      <c r="I81" s="82">
        <v>0</v>
      </c>
      <c r="J81" s="82">
        <v>0</v>
      </c>
      <c r="K81" s="82">
        <v>0</v>
      </c>
      <c r="L81" s="82">
        <v>0</v>
      </c>
      <c r="M81" s="82">
        <v>0</v>
      </c>
      <c r="N81" s="82">
        <v>0</v>
      </c>
      <c r="O81" s="95">
        <v>0</v>
      </c>
    </row>
    <row r="82" spans="1:15" x14ac:dyDescent="0.25">
      <c r="A82" s="83" t="s">
        <v>54</v>
      </c>
      <c r="B82" s="83" t="s">
        <v>69</v>
      </c>
      <c r="C82" s="90">
        <v>88.073274775391923</v>
      </c>
      <c r="D82" s="91">
        <v>125.81896396484561</v>
      </c>
      <c r="E82" s="91">
        <v>100.65517117187649</v>
      </c>
      <c r="F82" s="91">
        <v>100.65517117187649</v>
      </c>
      <c r="G82" s="91">
        <v>125.81896396484561</v>
      </c>
      <c r="H82" s="91">
        <v>150.98275675781474</v>
      </c>
      <c r="I82" s="91">
        <v>176.14654955078385</v>
      </c>
      <c r="J82" s="91">
        <v>163.56465315429929</v>
      </c>
      <c r="K82" s="91">
        <v>163.56465315429929</v>
      </c>
      <c r="L82" s="91">
        <v>138.40086036133016</v>
      </c>
      <c r="M82" s="91">
        <v>88.073274775391923</v>
      </c>
      <c r="N82" s="91">
        <v>100.65517117187649</v>
      </c>
      <c r="O82" s="92">
        <v>1522.4094639746318</v>
      </c>
    </row>
    <row r="83" spans="1:15" x14ac:dyDescent="0.25">
      <c r="A83" s="214"/>
      <c r="B83" s="93" t="s">
        <v>25</v>
      </c>
      <c r="C83" s="94">
        <v>-34.669782785200823</v>
      </c>
      <c r="D83" s="82">
        <v>-49.528261121715445</v>
      </c>
      <c r="E83" s="82">
        <v>-39.622608897372359</v>
      </c>
      <c r="F83" s="82">
        <v>-39.622608897372359</v>
      </c>
      <c r="G83" s="82">
        <v>-49.528261121715445</v>
      </c>
      <c r="H83" s="82">
        <v>-59.433913346058546</v>
      </c>
      <c r="I83" s="82">
        <v>-69.339565570401646</v>
      </c>
      <c r="J83" s="82">
        <v>-64.386739458230096</v>
      </c>
      <c r="K83" s="82">
        <v>-64.386739458230096</v>
      </c>
      <c r="L83" s="82">
        <v>-54.481087233886996</v>
      </c>
      <c r="M83" s="82">
        <v>-34.669782785200823</v>
      </c>
      <c r="N83" s="82">
        <v>-39.622608897372359</v>
      </c>
      <c r="O83" s="95">
        <v>-599.29195957275704</v>
      </c>
    </row>
    <row r="84" spans="1:15" x14ac:dyDescent="0.25">
      <c r="A84" s="214"/>
      <c r="B84" s="93" t="s">
        <v>26</v>
      </c>
      <c r="C84" s="94">
        <v>-2.8446564998446875</v>
      </c>
      <c r="D84" s="82">
        <v>-4.0637949997781249</v>
      </c>
      <c r="E84" s="82">
        <v>-3.2510359998224998</v>
      </c>
      <c r="F84" s="82">
        <v>-3.2510359998224998</v>
      </c>
      <c r="G84" s="82">
        <v>-4.0637949997781249</v>
      </c>
      <c r="H84" s="82">
        <v>-4.8765539997337504</v>
      </c>
      <c r="I84" s="82">
        <v>-5.689312999689375</v>
      </c>
      <c r="J84" s="82">
        <v>-5.2829334997115618</v>
      </c>
      <c r="K84" s="82">
        <v>-5.2829334997115618</v>
      </c>
      <c r="L84" s="82">
        <v>-4.4701744997559381</v>
      </c>
      <c r="M84" s="82">
        <v>-2.8446564998446875</v>
      </c>
      <c r="N84" s="82">
        <v>-3.2510359998224998</v>
      </c>
      <c r="O84" s="95">
        <v>-49.171919497315308</v>
      </c>
    </row>
    <row r="85" spans="1:15" x14ac:dyDescent="0.25">
      <c r="A85" s="214"/>
      <c r="B85" s="93" t="s">
        <v>27</v>
      </c>
      <c r="C85" s="94">
        <v>-37.514439285045512</v>
      </c>
      <c r="D85" s="82">
        <v>-53.59205612149357</v>
      </c>
      <c r="E85" s="82">
        <v>-42.873644897194858</v>
      </c>
      <c r="F85" s="82">
        <v>-42.873644897194858</v>
      </c>
      <c r="G85" s="82">
        <v>-53.59205612149357</v>
      </c>
      <c r="H85" s="82">
        <v>-64.31046734579229</v>
      </c>
      <c r="I85" s="82">
        <v>-75.028878570091024</v>
      </c>
      <c r="J85" s="82">
        <v>-69.669672957941657</v>
      </c>
      <c r="K85" s="82">
        <v>-69.669672957941657</v>
      </c>
      <c r="L85" s="82">
        <v>-58.951261733642937</v>
      </c>
      <c r="M85" s="82">
        <v>-37.514439285045512</v>
      </c>
      <c r="N85" s="82">
        <v>-42.873644897194858</v>
      </c>
      <c r="O85" s="95">
        <v>-648.46387907007227</v>
      </c>
    </row>
    <row r="86" spans="1:15" x14ac:dyDescent="0.25">
      <c r="A86" s="214"/>
      <c r="B86" s="93" t="s">
        <v>48</v>
      </c>
      <c r="C86" s="94">
        <v>122.74305756059275</v>
      </c>
      <c r="D86" s="82">
        <v>175.34722508656105</v>
      </c>
      <c r="E86" s="82">
        <v>140.27778006924885</v>
      </c>
      <c r="F86" s="82">
        <v>140.27778006924885</v>
      </c>
      <c r="G86" s="82">
        <v>175.34722508656105</v>
      </c>
      <c r="H86" s="82">
        <v>210.41667010387329</v>
      </c>
      <c r="I86" s="82">
        <v>245.48611512118549</v>
      </c>
      <c r="J86" s="82">
        <v>227.95139261252939</v>
      </c>
      <c r="K86" s="82">
        <v>227.95139261252939</v>
      </c>
      <c r="L86" s="82">
        <v>192.88194759521716</v>
      </c>
      <c r="M86" s="82">
        <v>122.74305756059275</v>
      </c>
      <c r="N86" s="82">
        <v>140.27778006924885</v>
      </c>
      <c r="O86" s="95">
        <v>2121.7014235473889</v>
      </c>
    </row>
    <row r="87" spans="1:15" x14ac:dyDescent="0.25">
      <c r="A87" s="214"/>
      <c r="B87" s="93" t="s">
        <v>86</v>
      </c>
      <c r="C87" s="94">
        <v>0</v>
      </c>
      <c r="D87" s="82">
        <v>0</v>
      </c>
      <c r="E87" s="82">
        <v>0</v>
      </c>
      <c r="F87" s="82">
        <v>0</v>
      </c>
      <c r="G87" s="82">
        <v>0</v>
      </c>
      <c r="H87" s="82">
        <v>0</v>
      </c>
      <c r="I87" s="82">
        <v>0</v>
      </c>
      <c r="J87" s="82">
        <v>0</v>
      </c>
      <c r="K87" s="82">
        <v>0</v>
      </c>
      <c r="L87" s="82">
        <v>0</v>
      </c>
      <c r="M87" s="82">
        <v>0</v>
      </c>
      <c r="N87" s="82">
        <v>0</v>
      </c>
      <c r="O87" s="95">
        <v>0</v>
      </c>
    </row>
    <row r="88" spans="1:15" x14ac:dyDescent="0.25">
      <c r="A88" s="214"/>
      <c r="B88" s="93" t="s">
        <v>88</v>
      </c>
      <c r="C88" s="94">
        <v>0</v>
      </c>
      <c r="D88" s="82">
        <v>0</v>
      </c>
      <c r="E88" s="82">
        <v>0</v>
      </c>
      <c r="F88" s="82">
        <v>0</v>
      </c>
      <c r="G88" s="82">
        <v>0</v>
      </c>
      <c r="H88" s="82">
        <v>0</v>
      </c>
      <c r="I88" s="82">
        <v>0</v>
      </c>
      <c r="J88" s="82">
        <v>0</v>
      </c>
      <c r="K88" s="82">
        <v>0</v>
      </c>
      <c r="L88" s="82">
        <v>0</v>
      </c>
      <c r="M88" s="82">
        <v>0</v>
      </c>
      <c r="N88" s="82">
        <v>0</v>
      </c>
      <c r="O88" s="95">
        <v>0</v>
      </c>
    </row>
    <row r="89" spans="1:15" x14ac:dyDescent="0.25">
      <c r="A89" s="83" t="s">
        <v>55</v>
      </c>
      <c r="B89" s="83" t="s">
        <v>69</v>
      </c>
      <c r="C89" s="90">
        <v>264.2198243261758</v>
      </c>
      <c r="D89" s="91">
        <v>264.2198243261758</v>
      </c>
      <c r="E89" s="91">
        <v>239.05603153320666</v>
      </c>
      <c r="F89" s="91">
        <v>264.2198243261758</v>
      </c>
      <c r="G89" s="91">
        <v>352.29309910156769</v>
      </c>
      <c r="H89" s="91">
        <v>465.53016666992875</v>
      </c>
      <c r="I89" s="91">
        <v>478.11206306641333</v>
      </c>
      <c r="J89" s="91">
        <v>503.27585585938243</v>
      </c>
      <c r="K89" s="91">
        <v>465.53016666992875</v>
      </c>
      <c r="L89" s="91">
        <v>377.45689189453685</v>
      </c>
      <c r="M89" s="91">
        <v>239.05603153320666</v>
      </c>
      <c r="N89" s="91">
        <v>251.63792792969122</v>
      </c>
      <c r="O89" s="92">
        <v>4164.6077072363896</v>
      </c>
    </row>
    <row r="90" spans="1:15" x14ac:dyDescent="0.25">
      <c r="A90" s="214"/>
      <c r="B90" s="93" t="s">
        <v>25</v>
      </c>
      <c r="C90" s="94">
        <v>-104.00934835560241</v>
      </c>
      <c r="D90" s="82">
        <v>-104.00934835560241</v>
      </c>
      <c r="E90" s="82">
        <v>-94.103696131259341</v>
      </c>
      <c r="F90" s="82">
        <v>-104.00934835560241</v>
      </c>
      <c r="G90" s="82">
        <v>-138.67913114080329</v>
      </c>
      <c r="H90" s="82">
        <v>-183.25456615034722</v>
      </c>
      <c r="I90" s="82">
        <v>-188.20739226251868</v>
      </c>
      <c r="J90" s="82">
        <v>-198.11304448686178</v>
      </c>
      <c r="K90" s="82">
        <v>-183.25456615034722</v>
      </c>
      <c r="L90" s="82">
        <v>-148.58478336514634</v>
      </c>
      <c r="M90" s="82">
        <v>-94.103696131259341</v>
      </c>
      <c r="N90" s="82">
        <v>-99.056522243430891</v>
      </c>
      <c r="O90" s="95">
        <v>-1639.3854431287812</v>
      </c>
    </row>
    <row r="91" spans="1:15" x14ac:dyDescent="0.25">
      <c r="A91" s="214"/>
      <c r="B91" s="93" t="s">
        <v>26</v>
      </c>
      <c r="C91" s="94">
        <v>-8.5339694995340629</v>
      </c>
      <c r="D91" s="82">
        <v>-8.5339694995340629</v>
      </c>
      <c r="E91" s="82">
        <v>-7.7212104995784383</v>
      </c>
      <c r="F91" s="82">
        <v>-8.5339694995340629</v>
      </c>
      <c r="G91" s="82">
        <v>-11.37862599937875</v>
      </c>
      <c r="H91" s="82">
        <v>-15.036041499179062</v>
      </c>
      <c r="I91" s="82">
        <v>-15.442420999156877</v>
      </c>
      <c r="J91" s="82">
        <v>-16.255179999112499</v>
      </c>
      <c r="K91" s="82">
        <v>-15.036041499179062</v>
      </c>
      <c r="L91" s="82">
        <v>-12.191384999334375</v>
      </c>
      <c r="M91" s="82">
        <v>-7.7212104995784383</v>
      </c>
      <c r="N91" s="82">
        <v>-8.1275899995562497</v>
      </c>
      <c r="O91" s="95">
        <v>-134.51161449265595</v>
      </c>
    </row>
    <row r="92" spans="1:15" x14ac:dyDescent="0.25">
      <c r="A92" s="214"/>
      <c r="B92" s="93" t="s">
        <v>27</v>
      </c>
      <c r="C92" s="94">
        <v>-112.54331785513648</v>
      </c>
      <c r="D92" s="82">
        <v>-112.54331785513648</v>
      </c>
      <c r="E92" s="82">
        <v>-101.82490663083777</v>
      </c>
      <c r="F92" s="82">
        <v>-112.54331785513648</v>
      </c>
      <c r="G92" s="82">
        <v>-150.05775714018205</v>
      </c>
      <c r="H92" s="82">
        <v>-198.29060764952627</v>
      </c>
      <c r="I92" s="82">
        <v>-203.64981326167555</v>
      </c>
      <c r="J92" s="82">
        <v>-214.36822448597428</v>
      </c>
      <c r="K92" s="82">
        <v>-198.29060764952627</v>
      </c>
      <c r="L92" s="82">
        <v>-160.77616836448072</v>
      </c>
      <c r="M92" s="82">
        <v>-101.82490663083777</v>
      </c>
      <c r="N92" s="82">
        <v>-107.18411224298714</v>
      </c>
      <c r="O92" s="95">
        <v>-1773.8970576214372</v>
      </c>
    </row>
    <row r="93" spans="1:15" x14ac:dyDescent="0.25">
      <c r="A93" s="214"/>
      <c r="B93" s="93" t="s">
        <v>48</v>
      </c>
      <c r="C93" s="94">
        <v>368.22917268177821</v>
      </c>
      <c r="D93" s="82">
        <v>368.22917268177821</v>
      </c>
      <c r="E93" s="82">
        <v>333.159727664466</v>
      </c>
      <c r="F93" s="82">
        <v>368.22917268177821</v>
      </c>
      <c r="G93" s="82">
        <v>490.97223024237098</v>
      </c>
      <c r="H93" s="82">
        <v>648.78473282027596</v>
      </c>
      <c r="I93" s="82">
        <v>666.31945532893201</v>
      </c>
      <c r="J93" s="82">
        <v>701.38890034624421</v>
      </c>
      <c r="K93" s="82">
        <v>648.78473282027596</v>
      </c>
      <c r="L93" s="82">
        <v>526.04167525968319</v>
      </c>
      <c r="M93" s="82">
        <v>333.159727664466</v>
      </c>
      <c r="N93" s="82">
        <v>350.69445017312211</v>
      </c>
      <c r="O93" s="95">
        <v>5803.9931503651705</v>
      </c>
    </row>
    <row r="94" spans="1:15" x14ac:dyDescent="0.25">
      <c r="A94" s="214"/>
      <c r="B94" s="93" t="s">
        <v>86</v>
      </c>
      <c r="C94" s="94">
        <v>0</v>
      </c>
      <c r="D94" s="82">
        <v>0</v>
      </c>
      <c r="E94" s="82">
        <v>0</v>
      </c>
      <c r="F94" s="82">
        <v>0</v>
      </c>
      <c r="G94" s="82">
        <v>0</v>
      </c>
      <c r="H94" s="82">
        <v>0</v>
      </c>
      <c r="I94" s="82">
        <v>0</v>
      </c>
      <c r="J94" s="82">
        <v>0</v>
      </c>
      <c r="K94" s="82">
        <v>0</v>
      </c>
      <c r="L94" s="82">
        <v>0</v>
      </c>
      <c r="M94" s="82">
        <v>0</v>
      </c>
      <c r="N94" s="82">
        <v>0</v>
      </c>
      <c r="O94" s="95">
        <v>0</v>
      </c>
    </row>
    <row r="95" spans="1:15" x14ac:dyDescent="0.25">
      <c r="A95" s="214"/>
      <c r="B95" s="93" t="s">
        <v>88</v>
      </c>
      <c r="C95" s="94">
        <v>0</v>
      </c>
      <c r="D95" s="82">
        <v>0</v>
      </c>
      <c r="E95" s="82">
        <v>0</v>
      </c>
      <c r="F95" s="82">
        <v>0</v>
      </c>
      <c r="G95" s="82">
        <v>0</v>
      </c>
      <c r="H95" s="82">
        <v>0</v>
      </c>
      <c r="I95" s="82">
        <v>0</v>
      </c>
      <c r="J95" s="82">
        <v>0</v>
      </c>
      <c r="K95" s="82">
        <v>0</v>
      </c>
      <c r="L95" s="82">
        <v>0</v>
      </c>
      <c r="M95" s="82">
        <v>0</v>
      </c>
      <c r="N95" s="82">
        <v>0</v>
      </c>
      <c r="O95" s="95">
        <v>0</v>
      </c>
    </row>
    <row r="96" spans="1:15" x14ac:dyDescent="0.25">
      <c r="A96" s="83" t="s">
        <v>56</v>
      </c>
      <c r="B96" s="83" t="s">
        <v>69</v>
      </c>
      <c r="C96" s="90">
        <v>452.94827027344422</v>
      </c>
      <c r="D96" s="91">
        <v>402.62068468750596</v>
      </c>
      <c r="E96" s="91">
        <v>402.62068468750596</v>
      </c>
      <c r="F96" s="91">
        <v>390.03878829102138</v>
      </c>
      <c r="G96" s="91">
        <v>478.11206306641333</v>
      </c>
      <c r="H96" s="91">
        <v>603.93102703125896</v>
      </c>
      <c r="I96" s="91">
        <v>616.51292342774354</v>
      </c>
      <c r="J96" s="91">
        <v>629.09481982422801</v>
      </c>
      <c r="K96" s="91">
        <v>591.34913063477438</v>
      </c>
      <c r="L96" s="91">
        <v>452.94827027344422</v>
      </c>
      <c r="M96" s="91">
        <v>327.12930630859859</v>
      </c>
      <c r="N96" s="91">
        <v>390.03878829102138</v>
      </c>
      <c r="O96" s="92">
        <v>5737.3447567969606</v>
      </c>
    </row>
    <row r="97" spans="1:15" x14ac:dyDescent="0.25">
      <c r="A97" s="214"/>
      <c r="B97" s="93" t="s">
        <v>25</v>
      </c>
      <c r="C97" s="94">
        <v>-178.30174003817558</v>
      </c>
      <c r="D97" s="82">
        <v>-158.49043558948944</v>
      </c>
      <c r="E97" s="82">
        <v>-158.49043558948944</v>
      </c>
      <c r="F97" s="82">
        <v>-153.53760947731786</v>
      </c>
      <c r="G97" s="82">
        <v>-188.20739226251868</v>
      </c>
      <c r="H97" s="82">
        <v>-237.73565338423418</v>
      </c>
      <c r="I97" s="82">
        <v>-242.68847949640565</v>
      </c>
      <c r="J97" s="82">
        <v>-247.64130560857734</v>
      </c>
      <c r="K97" s="82">
        <v>-232.7828272720626</v>
      </c>
      <c r="L97" s="82">
        <v>-178.30174003817558</v>
      </c>
      <c r="M97" s="82">
        <v>-128.77347891646019</v>
      </c>
      <c r="N97" s="82">
        <v>-153.53760947731786</v>
      </c>
      <c r="O97" s="95">
        <v>-2258.4887071502244</v>
      </c>
    </row>
    <row r="98" spans="1:15" x14ac:dyDescent="0.25">
      <c r="A98" s="214"/>
      <c r="B98" s="93" t="s">
        <v>26</v>
      </c>
      <c r="C98" s="94">
        <v>-14.62966199920125</v>
      </c>
      <c r="D98" s="82">
        <v>-13.004143999289999</v>
      </c>
      <c r="E98" s="82">
        <v>-13.004143999289999</v>
      </c>
      <c r="F98" s="82">
        <v>-12.597764499312188</v>
      </c>
      <c r="G98" s="82">
        <v>-15.442420999156877</v>
      </c>
      <c r="H98" s="82">
        <v>-19.506215998935001</v>
      </c>
      <c r="I98" s="82">
        <v>-19.912595498912811</v>
      </c>
      <c r="J98" s="82">
        <v>-20.318974998890624</v>
      </c>
      <c r="K98" s="82">
        <v>-19.099836498957188</v>
      </c>
      <c r="L98" s="82">
        <v>-14.62966199920125</v>
      </c>
      <c r="M98" s="82">
        <v>-10.565866999423124</v>
      </c>
      <c r="N98" s="82">
        <v>-12.597764499312188</v>
      </c>
      <c r="O98" s="95">
        <v>-185.30905198988251</v>
      </c>
    </row>
    <row r="99" spans="1:15" x14ac:dyDescent="0.25">
      <c r="A99" s="214"/>
      <c r="B99" s="93" t="s">
        <v>27</v>
      </c>
      <c r="C99" s="94">
        <v>-192.93140203737684</v>
      </c>
      <c r="D99" s="82">
        <v>-171.49457958877943</v>
      </c>
      <c r="E99" s="82">
        <v>-171.49457958877943</v>
      </c>
      <c r="F99" s="82">
        <v>-166.13537397663004</v>
      </c>
      <c r="G99" s="82">
        <v>-203.64981326167555</v>
      </c>
      <c r="H99" s="82">
        <v>-257.24186938316916</v>
      </c>
      <c r="I99" s="82">
        <v>-262.60107499531847</v>
      </c>
      <c r="J99" s="82">
        <v>-267.96028060746795</v>
      </c>
      <c r="K99" s="82">
        <v>-251.88266377101979</v>
      </c>
      <c r="L99" s="82">
        <v>-192.93140203737684</v>
      </c>
      <c r="M99" s="82">
        <v>-139.33934591588331</v>
      </c>
      <c r="N99" s="82">
        <v>-166.13537397663004</v>
      </c>
      <c r="O99" s="95">
        <v>-2443.7977591401068</v>
      </c>
    </row>
    <row r="100" spans="1:15" x14ac:dyDescent="0.25">
      <c r="A100" s="214"/>
      <c r="B100" s="93" t="s">
        <v>48</v>
      </c>
      <c r="C100" s="94">
        <v>631.2500103116198</v>
      </c>
      <c r="D100" s="82">
        <v>561.11112027699539</v>
      </c>
      <c r="E100" s="82">
        <v>561.11112027699539</v>
      </c>
      <c r="F100" s="82">
        <v>543.57639776833923</v>
      </c>
      <c r="G100" s="82">
        <v>666.31945532893201</v>
      </c>
      <c r="H100" s="82">
        <v>841.66668041549315</v>
      </c>
      <c r="I100" s="82">
        <v>859.20140292414919</v>
      </c>
      <c r="J100" s="82">
        <v>876.73612543280535</v>
      </c>
      <c r="K100" s="82">
        <v>824.13195790683699</v>
      </c>
      <c r="L100" s="82">
        <v>631.2500103116198</v>
      </c>
      <c r="M100" s="82">
        <v>455.90278522505878</v>
      </c>
      <c r="N100" s="82">
        <v>543.57639776833923</v>
      </c>
      <c r="O100" s="95">
        <v>7995.8334639471841</v>
      </c>
    </row>
    <row r="101" spans="1:15" x14ac:dyDescent="0.25">
      <c r="A101" s="214"/>
      <c r="B101" s="93" t="s">
        <v>86</v>
      </c>
      <c r="C101" s="94">
        <v>0</v>
      </c>
      <c r="D101" s="82">
        <v>0</v>
      </c>
      <c r="E101" s="82">
        <v>0</v>
      </c>
      <c r="F101" s="82">
        <v>0</v>
      </c>
      <c r="G101" s="82">
        <v>0</v>
      </c>
      <c r="H101" s="82">
        <v>0</v>
      </c>
      <c r="I101" s="82">
        <v>0</v>
      </c>
      <c r="J101" s="82">
        <v>0</v>
      </c>
      <c r="K101" s="82">
        <v>0</v>
      </c>
      <c r="L101" s="82">
        <v>0</v>
      </c>
      <c r="M101" s="82">
        <v>0</v>
      </c>
      <c r="N101" s="82">
        <v>0</v>
      </c>
      <c r="O101" s="95">
        <v>0</v>
      </c>
    </row>
    <row r="102" spans="1:15" x14ac:dyDescent="0.25">
      <c r="A102" s="214"/>
      <c r="B102" s="93" t="s">
        <v>88</v>
      </c>
      <c r="C102" s="94">
        <v>0</v>
      </c>
      <c r="D102" s="82">
        <v>0</v>
      </c>
      <c r="E102" s="82">
        <v>0</v>
      </c>
      <c r="F102" s="82">
        <v>0</v>
      </c>
      <c r="G102" s="82">
        <v>0</v>
      </c>
      <c r="H102" s="82">
        <v>0</v>
      </c>
      <c r="I102" s="82">
        <v>0</v>
      </c>
      <c r="J102" s="82">
        <v>0</v>
      </c>
      <c r="K102" s="82">
        <v>0</v>
      </c>
      <c r="L102" s="82">
        <v>0</v>
      </c>
      <c r="M102" s="82">
        <v>0</v>
      </c>
      <c r="N102" s="82">
        <v>0</v>
      </c>
      <c r="O102" s="95">
        <v>0</v>
      </c>
    </row>
    <row r="103" spans="1:15" x14ac:dyDescent="0.25">
      <c r="A103" s="83" t="s">
        <v>80</v>
      </c>
      <c r="B103" s="83" t="s">
        <v>69</v>
      </c>
      <c r="C103" s="90">
        <v>1723.7198063183848</v>
      </c>
      <c r="D103" s="91">
        <v>1660.8103243359622</v>
      </c>
      <c r="E103" s="91">
        <v>1862.120666679715</v>
      </c>
      <c r="F103" s="91">
        <v>1157.5344684765796</v>
      </c>
      <c r="G103" s="91">
        <v>1308.5172252343943</v>
      </c>
      <c r="H103" s="91">
        <v>1962.7758378515916</v>
      </c>
      <c r="I103" s="91">
        <v>1950.1939414551071</v>
      </c>
      <c r="J103" s="91">
        <v>2000.5215270410451</v>
      </c>
      <c r="K103" s="91">
        <v>1811.7930810937769</v>
      </c>
      <c r="L103" s="91">
        <v>1472.0818783886937</v>
      </c>
      <c r="M103" s="91">
        <v>1685.9741171289311</v>
      </c>
      <c r="N103" s="91">
        <v>1824.3749774902615</v>
      </c>
      <c r="O103" s="92">
        <v>20420.417851494443</v>
      </c>
    </row>
    <row r="104" spans="1:15" x14ac:dyDescent="0.25">
      <c r="A104" s="214"/>
      <c r="B104" s="93" t="s">
        <v>25</v>
      </c>
      <c r="C104" s="94">
        <v>-678.53717736750173</v>
      </c>
      <c r="D104" s="82">
        <v>-653.77304680664406</v>
      </c>
      <c r="E104" s="82">
        <v>-733.01826460138886</v>
      </c>
      <c r="F104" s="82">
        <v>-455.66000231978205</v>
      </c>
      <c r="G104" s="82">
        <v>-515.09391566584077</v>
      </c>
      <c r="H104" s="82">
        <v>-772.64087349876104</v>
      </c>
      <c r="I104" s="82">
        <v>-767.68804738658946</v>
      </c>
      <c r="J104" s="82">
        <v>-787.49935183527555</v>
      </c>
      <c r="K104" s="82">
        <v>-713.20696015270232</v>
      </c>
      <c r="L104" s="82">
        <v>-579.48065512407061</v>
      </c>
      <c r="M104" s="82">
        <v>-663.67869903098699</v>
      </c>
      <c r="N104" s="82">
        <v>-718.1597862648739</v>
      </c>
      <c r="O104" s="95">
        <v>-8038.4367800544169</v>
      </c>
    </row>
    <row r="105" spans="1:15" x14ac:dyDescent="0.25">
      <c r="A105" s="214"/>
      <c r="B105" s="93" t="s">
        <v>26</v>
      </c>
      <c r="C105" s="94">
        <v>-55.673991496960312</v>
      </c>
      <c r="D105" s="82">
        <v>-53.642093997071257</v>
      </c>
      <c r="E105" s="82">
        <v>-60.144165996716247</v>
      </c>
      <c r="F105" s="82">
        <v>-37.38691399795875</v>
      </c>
      <c r="G105" s="82">
        <v>-42.263467997692494</v>
      </c>
      <c r="H105" s="82">
        <v>-63.395201996538752</v>
      </c>
      <c r="I105" s="82">
        <v>-62.988822496560935</v>
      </c>
      <c r="J105" s="82">
        <v>-64.614340496472181</v>
      </c>
      <c r="K105" s="82">
        <v>-58.518647996805001</v>
      </c>
      <c r="L105" s="82">
        <v>-47.546401497404069</v>
      </c>
      <c r="M105" s="82">
        <v>-54.454852997026876</v>
      </c>
      <c r="N105" s="82">
        <v>-58.925027496782818</v>
      </c>
      <c r="O105" s="95">
        <v>-659.55392846398968</v>
      </c>
    </row>
    <row r="106" spans="1:15" x14ac:dyDescent="0.25">
      <c r="A106" s="214"/>
      <c r="B106" s="93" t="s">
        <v>27</v>
      </c>
      <c r="C106" s="94">
        <v>-734.21116886446202</v>
      </c>
      <c r="D106" s="82">
        <v>-707.4151408037153</v>
      </c>
      <c r="E106" s="82">
        <v>-793.16243059810506</v>
      </c>
      <c r="F106" s="82">
        <v>-493.04691631774079</v>
      </c>
      <c r="G106" s="82">
        <v>-557.35738366353326</v>
      </c>
      <c r="H106" s="82">
        <v>-836.03607549529977</v>
      </c>
      <c r="I106" s="82">
        <v>-830.6768698831504</v>
      </c>
      <c r="J106" s="82">
        <v>-852.11369233174776</v>
      </c>
      <c r="K106" s="82">
        <v>-771.72560814950737</v>
      </c>
      <c r="L106" s="82">
        <v>-627.02705662147469</v>
      </c>
      <c r="M106" s="82">
        <v>-718.13355202801381</v>
      </c>
      <c r="N106" s="82">
        <v>-777.08481376165673</v>
      </c>
      <c r="O106" s="95">
        <v>-8697.9907085184059</v>
      </c>
    </row>
    <row r="107" spans="1:15" x14ac:dyDescent="0.25">
      <c r="A107" s="214"/>
      <c r="B107" s="93" t="s">
        <v>48</v>
      </c>
      <c r="C107" s="94">
        <v>2402.2569836858866</v>
      </c>
      <c r="D107" s="82">
        <v>2314.5833711426062</v>
      </c>
      <c r="E107" s="82">
        <v>2595.1389312811039</v>
      </c>
      <c r="F107" s="82">
        <v>1613.1944707963617</v>
      </c>
      <c r="G107" s="82">
        <v>1823.6111409002351</v>
      </c>
      <c r="H107" s="82">
        <v>2735.4167113503527</v>
      </c>
      <c r="I107" s="82">
        <v>2717.8819888416965</v>
      </c>
      <c r="J107" s="82">
        <v>2788.0208788763207</v>
      </c>
      <c r="K107" s="82">
        <v>2525.0000412464792</v>
      </c>
      <c r="L107" s="82">
        <v>2051.5625335127643</v>
      </c>
      <c r="M107" s="82">
        <v>2349.6528161599181</v>
      </c>
      <c r="N107" s="82">
        <v>2542.5347637551354</v>
      </c>
      <c r="O107" s="95">
        <v>28458.85463154886</v>
      </c>
    </row>
    <row r="108" spans="1:15" x14ac:dyDescent="0.25">
      <c r="A108" s="214"/>
      <c r="B108" s="93" t="s">
        <v>86</v>
      </c>
      <c r="C108" s="94">
        <v>0</v>
      </c>
      <c r="D108" s="82">
        <v>0</v>
      </c>
      <c r="E108" s="82">
        <v>0</v>
      </c>
      <c r="F108" s="82">
        <v>0</v>
      </c>
      <c r="G108" s="82">
        <v>0</v>
      </c>
      <c r="H108" s="82">
        <v>0</v>
      </c>
      <c r="I108" s="82">
        <v>0</v>
      </c>
      <c r="J108" s="82">
        <v>0</v>
      </c>
      <c r="K108" s="82">
        <v>0</v>
      </c>
      <c r="L108" s="82">
        <v>0</v>
      </c>
      <c r="M108" s="82">
        <v>0</v>
      </c>
      <c r="N108" s="82">
        <v>0</v>
      </c>
      <c r="O108" s="95">
        <v>0</v>
      </c>
    </row>
    <row r="109" spans="1:15" x14ac:dyDescent="0.25">
      <c r="A109" s="214"/>
      <c r="B109" s="93" t="s">
        <v>88</v>
      </c>
      <c r="C109" s="94">
        <v>0</v>
      </c>
      <c r="D109" s="82">
        <v>0</v>
      </c>
      <c r="E109" s="82">
        <v>0</v>
      </c>
      <c r="F109" s="82">
        <v>0</v>
      </c>
      <c r="G109" s="82">
        <v>0</v>
      </c>
      <c r="H109" s="82">
        <v>0</v>
      </c>
      <c r="I109" s="82">
        <v>0</v>
      </c>
      <c r="J109" s="82">
        <v>0</v>
      </c>
      <c r="K109" s="82">
        <v>0</v>
      </c>
      <c r="L109" s="82">
        <v>0</v>
      </c>
      <c r="M109" s="82">
        <v>0</v>
      </c>
      <c r="N109" s="82">
        <v>0</v>
      </c>
      <c r="O109" s="95">
        <v>0</v>
      </c>
    </row>
    <row r="110" spans="1:15" x14ac:dyDescent="0.25">
      <c r="A110" s="83" t="s">
        <v>82</v>
      </c>
      <c r="B110" s="83" t="s">
        <v>69</v>
      </c>
      <c r="C110" s="90">
        <v>553.60344144532064</v>
      </c>
      <c r="D110" s="91">
        <v>528.43964865235159</v>
      </c>
      <c r="E110" s="91">
        <v>465.53016666992875</v>
      </c>
      <c r="F110" s="91">
        <v>339.71120270508317</v>
      </c>
      <c r="G110" s="91">
        <v>528.43964865235159</v>
      </c>
      <c r="H110" s="91">
        <v>704.58619820313538</v>
      </c>
      <c r="I110" s="91">
        <v>679.42240541016633</v>
      </c>
      <c r="J110" s="91">
        <v>742.33188739258912</v>
      </c>
      <c r="K110" s="91">
        <v>679.42240541016633</v>
      </c>
      <c r="L110" s="91">
        <v>465.53016666992875</v>
      </c>
      <c r="M110" s="91">
        <v>478.11206306641333</v>
      </c>
      <c r="N110" s="91">
        <v>440.36637387695964</v>
      </c>
      <c r="O110" s="92">
        <v>6605.4956081543951</v>
      </c>
    </row>
    <row r="111" spans="1:15" x14ac:dyDescent="0.25">
      <c r="A111" s="214"/>
      <c r="B111" s="93" t="s">
        <v>25</v>
      </c>
      <c r="C111" s="94">
        <v>-217.92434893554798</v>
      </c>
      <c r="D111" s="82">
        <v>-208.01869671120483</v>
      </c>
      <c r="E111" s="82">
        <v>-183.25456615034722</v>
      </c>
      <c r="F111" s="82">
        <v>-133.72630502863171</v>
      </c>
      <c r="G111" s="82">
        <v>-208.01869671120483</v>
      </c>
      <c r="H111" s="82">
        <v>-277.35826228160659</v>
      </c>
      <c r="I111" s="82">
        <v>-267.45261005726343</v>
      </c>
      <c r="J111" s="82">
        <v>-292.21674061812109</v>
      </c>
      <c r="K111" s="82">
        <v>-267.45261005726343</v>
      </c>
      <c r="L111" s="82">
        <v>-183.25456615034722</v>
      </c>
      <c r="M111" s="82">
        <v>-188.20739226251868</v>
      </c>
      <c r="N111" s="82">
        <v>-173.34891392600412</v>
      </c>
      <c r="O111" s="95">
        <v>-2600.2337088900613</v>
      </c>
    </row>
    <row r="112" spans="1:15" x14ac:dyDescent="0.25">
      <c r="A112" s="214"/>
      <c r="B112" s="93" t="s">
        <v>26</v>
      </c>
      <c r="C112" s="94">
        <v>-17.880697999023752</v>
      </c>
      <c r="D112" s="82">
        <v>-17.067938999068126</v>
      </c>
      <c r="E112" s="82">
        <v>-15.036041499179062</v>
      </c>
      <c r="F112" s="82">
        <v>-10.972246499400939</v>
      </c>
      <c r="G112" s="82">
        <v>-17.067938999068126</v>
      </c>
      <c r="H112" s="82">
        <v>-22.7572519987575</v>
      </c>
      <c r="I112" s="82">
        <v>-21.944492998801877</v>
      </c>
      <c r="J112" s="82">
        <v>-23.97639049869094</v>
      </c>
      <c r="K112" s="82">
        <v>-21.944492998801877</v>
      </c>
      <c r="L112" s="82">
        <v>-15.036041499179062</v>
      </c>
      <c r="M112" s="82">
        <v>-15.442420999156877</v>
      </c>
      <c r="N112" s="82">
        <v>-14.223282499223439</v>
      </c>
      <c r="O112" s="95">
        <v>-213.34923748835155</v>
      </c>
    </row>
    <row r="113" spans="1:15" x14ac:dyDescent="0.25">
      <c r="A113" s="214"/>
      <c r="B113" s="93" t="s">
        <v>27</v>
      </c>
      <c r="C113" s="94">
        <v>-235.80504693457175</v>
      </c>
      <c r="D113" s="82">
        <v>-225.08663571027296</v>
      </c>
      <c r="E113" s="82">
        <v>-198.29060764952627</v>
      </c>
      <c r="F113" s="82">
        <v>-144.69855152803265</v>
      </c>
      <c r="G113" s="82">
        <v>-225.08663571027296</v>
      </c>
      <c r="H113" s="82">
        <v>-300.1155142803641</v>
      </c>
      <c r="I113" s="82">
        <v>-289.3971030560653</v>
      </c>
      <c r="J113" s="82">
        <v>-316.19313111681203</v>
      </c>
      <c r="K113" s="82">
        <v>-289.3971030560653</v>
      </c>
      <c r="L113" s="82">
        <v>-198.29060764952627</v>
      </c>
      <c r="M113" s="82">
        <v>-203.64981326167555</v>
      </c>
      <c r="N113" s="82">
        <v>-187.57219642522756</v>
      </c>
      <c r="O113" s="95">
        <v>-2813.582946378413</v>
      </c>
    </row>
    <row r="114" spans="1:15" x14ac:dyDescent="0.25">
      <c r="A114" s="214"/>
      <c r="B114" s="93" t="s">
        <v>48</v>
      </c>
      <c r="C114" s="94">
        <v>771.52779038086862</v>
      </c>
      <c r="D114" s="82">
        <v>736.45834536355642</v>
      </c>
      <c r="E114" s="82">
        <v>648.78473282027596</v>
      </c>
      <c r="F114" s="82">
        <v>473.43750773371488</v>
      </c>
      <c r="G114" s="82">
        <v>736.45834536355642</v>
      </c>
      <c r="H114" s="82">
        <v>981.94446048474197</v>
      </c>
      <c r="I114" s="82">
        <v>946.87501546742976</v>
      </c>
      <c r="J114" s="82">
        <v>1034.5486280107102</v>
      </c>
      <c r="K114" s="82">
        <v>946.87501546742976</v>
      </c>
      <c r="L114" s="82">
        <v>648.78473282027596</v>
      </c>
      <c r="M114" s="82">
        <v>666.31945532893201</v>
      </c>
      <c r="N114" s="82">
        <v>613.71528780296376</v>
      </c>
      <c r="O114" s="95">
        <v>9205.7293170444573</v>
      </c>
    </row>
    <row r="115" spans="1:15" x14ac:dyDescent="0.25">
      <c r="A115" s="214"/>
      <c r="B115" s="93" t="s">
        <v>86</v>
      </c>
      <c r="C115" s="94">
        <v>0</v>
      </c>
      <c r="D115" s="82">
        <v>0</v>
      </c>
      <c r="E115" s="82">
        <v>0</v>
      </c>
      <c r="F115" s="82">
        <v>0</v>
      </c>
      <c r="G115" s="82">
        <v>0</v>
      </c>
      <c r="H115" s="82">
        <v>0</v>
      </c>
      <c r="I115" s="82">
        <v>0</v>
      </c>
      <c r="J115" s="82">
        <v>0</v>
      </c>
      <c r="K115" s="82">
        <v>0</v>
      </c>
      <c r="L115" s="82">
        <v>0</v>
      </c>
      <c r="M115" s="82">
        <v>0</v>
      </c>
      <c r="N115" s="82">
        <v>0</v>
      </c>
      <c r="O115" s="95">
        <v>0</v>
      </c>
    </row>
    <row r="116" spans="1:15" x14ac:dyDescent="0.25">
      <c r="A116" s="214"/>
      <c r="B116" s="93" t="s">
        <v>88</v>
      </c>
      <c r="C116" s="94">
        <v>0</v>
      </c>
      <c r="D116" s="82">
        <v>0</v>
      </c>
      <c r="E116" s="82">
        <v>0</v>
      </c>
      <c r="F116" s="82">
        <v>0</v>
      </c>
      <c r="G116" s="82">
        <v>0</v>
      </c>
      <c r="H116" s="82">
        <v>0</v>
      </c>
      <c r="I116" s="82">
        <v>0</v>
      </c>
      <c r="J116" s="82">
        <v>0</v>
      </c>
      <c r="K116" s="82">
        <v>0</v>
      </c>
      <c r="L116" s="82">
        <v>0</v>
      </c>
      <c r="M116" s="82">
        <v>0</v>
      </c>
      <c r="N116" s="82">
        <v>0</v>
      </c>
      <c r="O116" s="95">
        <v>0</v>
      </c>
    </row>
    <row r="117" spans="1:15" x14ac:dyDescent="0.25">
      <c r="A117" s="83" t="s">
        <v>70</v>
      </c>
      <c r="B117" s="84"/>
      <c r="C117" s="90">
        <v>100667.75306827298</v>
      </c>
      <c r="D117" s="91">
        <v>99799.602216915533</v>
      </c>
      <c r="E117" s="91">
        <v>91118.093703341176</v>
      </c>
      <c r="F117" s="91">
        <v>81480.361063634002</v>
      </c>
      <c r="G117" s="91">
        <v>102655.69269891753</v>
      </c>
      <c r="H117" s="91">
        <v>130776.23114506052</v>
      </c>
      <c r="I117" s="91">
        <v>129367.05874865425</v>
      </c>
      <c r="J117" s="91">
        <v>138665.08018565638</v>
      </c>
      <c r="K117" s="91">
        <v>127945.30445585151</v>
      </c>
      <c r="L117" s="91">
        <v>100567.09789710109</v>
      </c>
      <c r="M117" s="91">
        <v>91118.093703341205</v>
      </c>
      <c r="N117" s="91">
        <v>91432.64111325331</v>
      </c>
      <c r="O117" s="92">
        <v>1285593.0099999998</v>
      </c>
    </row>
    <row r="118" spans="1:15" ht="13" x14ac:dyDescent="0.3">
      <c r="A118" s="83" t="s">
        <v>28</v>
      </c>
      <c r="B118" s="84"/>
      <c r="C118" s="231">
        <v>-39627.561723484541</v>
      </c>
      <c r="D118" s="232">
        <v>-39285.816721744704</v>
      </c>
      <c r="E118" s="232">
        <v>-35868.366704346328</v>
      </c>
      <c r="F118" s="232">
        <v>-32074.501902422915</v>
      </c>
      <c r="G118" s="232">
        <v>-40410.108249207653</v>
      </c>
      <c r="H118" s="232">
        <v>-51479.674609911046</v>
      </c>
      <c r="I118" s="232">
        <v>-50924.958085347818</v>
      </c>
      <c r="J118" s="232">
        <v>-54585.096582242601</v>
      </c>
      <c r="K118" s="232">
        <v>-50365.288734672431</v>
      </c>
      <c r="L118" s="232">
        <v>-39587.939114587149</v>
      </c>
      <c r="M118" s="232">
        <v>-35868.366704346328</v>
      </c>
      <c r="N118" s="232">
        <v>-35992.187357150615</v>
      </c>
      <c r="O118" s="233">
        <v>-506069.86648946407</v>
      </c>
    </row>
    <row r="119" spans="1:15" ht="13" x14ac:dyDescent="0.3">
      <c r="A119" s="83" t="s">
        <v>29</v>
      </c>
      <c r="B119" s="84"/>
      <c r="C119" s="231">
        <v>-3251.4423793224782</v>
      </c>
      <c r="D119" s="232">
        <v>-3223.4021938240094</v>
      </c>
      <c r="E119" s="232">
        <v>-2943.0003388393179</v>
      </c>
      <c r="F119" s="232">
        <v>-2631.7136418563141</v>
      </c>
      <c r="G119" s="232">
        <v>-3315.6503403189722</v>
      </c>
      <c r="H119" s="232">
        <v>-4223.9085227693831</v>
      </c>
      <c r="I119" s="232">
        <v>-4178.394018771869</v>
      </c>
      <c r="J119" s="232">
        <v>-4478.7084692554718</v>
      </c>
      <c r="K119" s="232">
        <v>-4132.4731352743756</v>
      </c>
      <c r="L119" s="232">
        <v>-3248.1913433226559</v>
      </c>
      <c r="M119" s="232">
        <v>-2943.0003388393184</v>
      </c>
      <c r="N119" s="232">
        <v>-2953.1598263387627</v>
      </c>
      <c r="O119" s="233">
        <v>-41523.04454873292</v>
      </c>
    </row>
    <row r="120" spans="1:15" ht="13" x14ac:dyDescent="0.3">
      <c r="A120" s="83" t="s">
        <v>30</v>
      </c>
      <c r="B120" s="84"/>
      <c r="C120" s="231">
        <v>-42879.004102807019</v>
      </c>
      <c r="D120" s="232">
        <v>-42509.218915568708</v>
      </c>
      <c r="E120" s="232">
        <v>-38811.367043185644</v>
      </c>
      <c r="F120" s="232">
        <v>-34706.215544279235</v>
      </c>
      <c r="G120" s="232">
        <v>-43725.758589526624</v>
      </c>
      <c r="H120" s="232">
        <v>-55703.583132680418</v>
      </c>
      <c r="I120" s="232">
        <v>-55103.352104119687</v>
      </c>
      <c r="J120" s="232">
        <v>-59063.805051498079</v>
      </c>
      <c r="K120" s="232">
        <v>-54497.761869946815</v>
      </c>
      <c r="L120" s="232">
        <v>-42836.130457909814</v>
      </c>
      <c r="M120" s="232">
        <v>-38811.367043185652</v>
      </c>
      <c r="N120" s="232">
        <v>-38945.347183489386</v>
      </c>
      <c r="O120" s="233">
        <v>-547592.91103819699</v>
      </c>
    </row>
    <row r="121" spans="1:15" x14ac:dyDescent="0.25">
      <c r="A121" s="83" t="s">
        <v>60</v>
      </c>
      <c r="B121" s="84"/>
      <c r="C121" s="90">
        <v>140295.31479175753</v>
      </c>
      <c r="D121" s="91">
        <v>139085.41893866024</v>
      </c>
      <c r="E121" s="91">
        <v>126986.46040768751</v>
      </c>
      <c r="F121" s="91">
        <v>113554.86296605694</v>
      </c>
      <c r="G121" s="91">
        <v>143065.80094812516</v>
      </c>
      <c r="H121" s="91">
        <v>182255.90575497155</v>
      </c>
      <c r="I121" s="91">
        <v>180292.0168340021</v>
      </c>
      <c r="J121" s="91">
        <v>193250.17676789896</v>
      </c>
      <c r="K121" s="91">
        <v>178310.59319052394</v>
      </c>
      <c r="L121" s="91">
        <v>140155.03701168826</v>
      </c>
      <c r="M121" s="91">
        <v>126986.46040768751</v>
      </c>
      <c r="N121" s="91">
        <v>127424.8284704039</v>
      </c>
      <c r="O121" s="92">
        <v>1791662.8764894635</v>
      </c>
    </row>
    <row r="122" spans="1:15" x14ac:dyDescent="0.25">
      <c r="A122" s="83" t="s">
        <v>87</v>
      </c>
      <c r="B122" s="84"/>
      <c r="C122" s="90">
        <v>0</v>
      </c>
      <c r="D122" s="91">
        <v>0</v>
      </c>
      <c r="E122" s="91">
        <v>0</v>
      </c>
      <c r="F122" s="91">
        <v>0</v>
      </c>
      <c r="G122" s="91">
        <v>0</v>
      </c>
      <c r="H122" s="91">
        <v>0</v>
      </c>
      <c r="I122" s="91">
        <v>0</v>
      </c>
      <c r="J122" s="91">
        <v>0</v>
      </c>
      <c r="K122" s="91">
        <v>0</v>
      </c>
      <c r="L122" s="91">
        <v>0</v>
      </c>
      <c r="M122" s="91">
        <v>0</v>
      </c>
      <c r="N122" s="91">
        <v>0</v>
      </c>
      <c r="O122" s="92">
        <v>0</v>
      </c>
    </row>
    <row r="123" spans="1:15" x14ac:dyDescent="0.25">
      <c r="A123" s="96" t="s">
        <v>89</v>
      </c>
      <c r="B123" s="215"/>
      <c r="C123" s="97">
        <v>0</v>
      </c>
      <c r="D123" s="98">
        <v>0</v>
      </c>
      <c r="E123" s="98">
        <v>0</v>
      </c>
      <c r="F123" s="98">
        <v>0</v>
      </c>
      <c r="G123" s="98">
        <v>0</v>
      </c>
      <c r="H123" s="98">
        <v>0</v>
      </c>
      <c r="I123" s="98">
        <v>0</v>
      </c>
      <c r="J123" s="98">
        <v>0</v>
      </c>
      <c r="K123" s="98">
        <v>0</v>
      </c>
      <c r="L123" s="98">
        <v>0</v>
      </c>
      <c r="M123" s="98">
        <v>0</v>
      </c>
      <c r="N123" s="98">
        <v>0</v>
      </c>
      <c r="O123" s="99">
        <v>0</v>
      </c>
    </row>
  </sheetData>
  <phoneticPr fontId="6" type="noConversion"/>
  <pageMargins left="0.5" right="0.5" top="0.73" bottom="0.98" header="0.5" footer="0.5"/>
  <pageSetup scale="53" fitToHeight="0" orientation="landscape" horizontalDpi="1200" verticalDpi="12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S220"/>
  <sheetViews>
    <sheetView showGridLines="0" zoomScale="80" zoomScaleNormal="80" zoomScaleSheetLayoutView="100" workbookViewId="0">
      <selection activeCell="N20" sqref="N20"/>
    </sheetView>
  </sheetViews>
  <sheetFormatPr defaultColWidth="8.7265625" defaultRowHeight="12.5" x14ac:dyDescent="0.25"/>
  <cols>
    <col min="1" max="1" width="0.54296875" style="1" customWidth="1"/>
    <col min="2" max="2" width="10.26953125" style="1" bestFit="1" customWidth="1"/>
    <col min="3" max="3" width="10.7265625" style="1" bestFit="1" customWidth="1"/>
    <col min="4" max="4" width="11" style="146" customWidth="1"/>
    <col min="5" max="5" width="24.26953125" style="1" customWidth="1"/>
    <col min="6" max="6" width="7.7265625" style="146" customWidth="1"/>
    <col min="7" max="7" width="7.453125" style="146" customWidth="1"/>
    <col min="8" max="8" width="11.1796875" style="146" bestFit="1" customWidth="1"/>
    <col min="9" max="9" width="11.26953125" style="147" customWidth="1"/>
    <col min="10" max="10" width="14.81640625" style="146" bestFit="1" customWidth="1"/>
    <col min="11" max="11" width="14.81640625" style="148" bestFit="1" customWidth="1"/>
    <col min="12" max="12" width="14.7265625" style="146" customWidth="1"/>
    <col min="13" max="13" width="13.453125" style="110" bestFit="1" customWidth="1"/>
    <col min="14" max="15" width="13.453125" style="110" customWidth="1"/>
    <col min="16" max="16" width="14.81640625" style="110" bestFit="1" customWidth="1"/>
    <col min="17" max="17" width="13.453125" style="110" customWidth="1"/>
    <col min="18" max="18" width="15.54296875" style="213" customWidth="1"/>
    <col min="19" max="16384" width="8.7265625" style="1"/>
  </cols>
  <sheetData>
    <row r="1" spans="2:18" ht="21.5" x14ac:dyDescent="0.3">
      <c r="B1" s="10" t="s">
        <v>94</v>
      </c>
      <c r="C1" s="100"/>
      <c r="D1" s="101"/>
      <c r="E1" s="100"/>
      <c r="F1" s="102" t="s">
        <v>12</v>
      </c>
      <c r="G1" s="103"/>
      <c r="H1" s="104"/>
      <c r="I1" s="105"/>
      <c r="J1" s="218" t="str">
        <f>"True-Up ARR
(CY"&amp;R1&amp;")"</f>
        <v>True-Up ARR
(CY2023)</v>
      </c>
      <c r="K1" s="218" t="str">
        <f>"Projected ARR
(Jan'"&amp;RIGHT(R$1,2)&amp;" - Dec'"&amp;RIGHT(R$1,2)&amp;")"</f>
        <v>Projected ARR
(Jan'23 - Dec'23)</v>
      </c>
      <c r="L1" s="106" t="s">
        <v>44</v>
      </c>
      <c r="M1" s="107"/>
      <c r="N1" s="50"/>
      <c r="O1" s="50"/>
      <c r="P1" s="50"/>
      <c r="Q1" s="50"/>
      <c r="R1" s="108">
        <v>2023</v>
      </c>
    </row>
    <row r="2" spans="2:18" ht="13" x14ac:dyDescent="0.3">
      <c r="B2" s="10" t="s">
        <v>51</v>
      </c>
      <c r="C2" s="100"/>
      <c r="D2" s="101"/>
      <c r="E2" s="100"/>
      <c r="F2" s="109">
        <v>1</v>
      </c>
      <c r="G2" s="235"/>
      <c r="H2" s="235"/>
      <c r="I2" s="111" t="s">
        <v>6</v>
      </c>
      <c r="J2" s="112">
        <v>1285593.0099999995</v>
      </c>
      <c r="K2" s="112">
        <v>1918789.6146772206</v>
      </c>
      <c r="L2" s="224"/>
      <c r="M2" s="114"/>
      <c r="N2" s="50"/>
      <c r="O2" s="50"/>
      <c r="P2" s="50"/>
      <c r="Q2" s="50"/>
      <c r="R2" s="1"/>
    </row>
    <row r="3" spans="2:18" ht="13" x14ac:dyDescent="0.3">
      <c r="B3" s="10" t="str">
        <f>"for CY"&amp;R1&amp;" SPP Network Transmission Service"</f>
        <v>for CY2023 SPP Network Transmission Service</v>
      </c>
      <c r="C3" s="100"/>
      <c r="D3" s="101"/>
      <c r="E3" s="100"/>
      <c r="F3" s="109"/>
      <c r="G3" s="235"/>
      <c r="H3" s="235"/>
      <c r="I3" s="111" t="s">
        <v>10</v>
      </c>
      <c r="J3" s="115">
        <v>12.581896396484561</v>
      </c>
      <c r="K3" s="115">
        <v>17.534722508656106</v>
      </c>
      <c r="L3" s="135" t="str">
        <f>"Inv. Jan-Dec'"&amp;RIGHT(R1,2)</f>
        <v>Inv. Jan-Dec'23</v>
      </c>
      <c r="M3" s="114"/>
      <c r="N3" s="50"/>
      <c r="O3" s="50"/>
      <c r="P3" s="50"/>
      <c r="Q3" s="50"/>
      <c r="R3" s="1"/>
    </row>
    <row r="4" spans="2:18" ht="13" x14ac:dyDescent="0.3">
      <c r="B4" s="9"/>
      <c r="C4" s="100"/>
      <c r="D4" s="101"/>
      <c r="E4" s="100"/>
      <c r="F4" s="109"/>
      <c r="G4" s="110"/>
      <c r="H4" s="110"/>
      <c r="I4" s="49"/>
      <c r="J4" s="110"/>
      <c r="K4" s="116"/>
      <c r="L4" s="133"/>
      <c r="M4" s="117"/>
      <c r="R4" s="1"/>
    </row>
    <row r="5" spans="2:18" ht="13" x14ac:dyDescent="0.3">
      <c r="B5" s="9"/>
      <c r="C5" s="100"/>
      <c r="D5" s="101"/>
      <c r="E5" s="100"/>
      <c r="F5" s="109"/>
      <c r="G5" s="110"/>
      <c r="H5" s="110"/>
      <c r="I5" s="111"/>
      <c r="J5" s="110"/>
      <c r="K5" s="112">
        <v>0</v>
      </c>
      <c r="L5" s="113"/>
      <c r="M5" s="118"/>
      <c r="N5" s="119"/>
      <c r="O5" s="119"/>
      <c r="P5" s="119"/>
      <c r="Q5" s="119"/>
      <c r="R5" s="120"/>
    </row>
    <row r="6" spans="2:18" ht="13" x14ac:dyDescent="0.3">
      <c r="B6" s="10" t="s">
        <v>23</v>
      </c>
      <c r="D6" s="101"/>
      <c r="E6" s="100"/>
      <c r="F6" s="121"/>
      <c r="G6" s="122"/>
      <c r="H6" s="123"/>
      <c r="I6" s="124"/>
      <c r="J6" s="125"/>
      <c r="K6" s="115">
        <v>0</v>
      </c>
      <c r="L6" s="216"/>
      <c r="M6" s="118"/>
      <c r="N6" s="119"/>
      <c r="O6" s="119"/>
      <c r="P6" s="119"/>
      <c r="Q6" s="119"/>
      <c r="R6" s="1"/>
    </row>
    <row r="7" spans="2:18" ht="13" x14ac:dyDescent="0.3">
      <c r="B7" s="9" t="s">
        <v>76</v>
      </c>
      <c r="D7" s="101"/>
      <c r="E7" s="100"/>
      <c r="F7" s="109"/>
      <c r="G7" s="236"/>
      <c r="H7" s="235"/>
      <c r="I7" s="111"/>
      <c r="J7" s="126"/>
      <c r="K7" s="113"/>
      <c r="L7" s="113"/>
      <c r="M7" s="127"/>
      <c r="N7" s="128"/>
      <c r="O7" s="128"/>
      <c r="P7" s="128"/>
      <c r="Q7" s="128"/>
      <c r="R7" s="1"/>
    </row>
    <row r="8" spans="2:18" ht="13" x14ac:dyDescent="0.3">
      <c r="B8" s="10"/>
      <c r="C8" s="100"/>
      <c r="D8" s="101"/>
      <c r="E8" s="100"/>
      <c r="F8" s="109"/>
      <c r="G8" s="235"/>
      <c r="H8" s="235"/>
      <c r="I8" s="111"/>
      <c r="J8" s="129"/>
      <c r="K8" s="113"/>
      <c r="L8" s="130"/>
      <c r="M8" s="114"/>
      <c r="N8" s="50"/>
      <c r="O8" s="50"/>
      <c r="P8" s="50"/>
      <c r="Q8" s="50"/>
      <c r="R8" s="120"/>
    </row>
    <row r="9" spans="2:18" ht="13" x14ac:dyDescent="0.3">
      <c r="B9" s="131"/>
      <c r="C9" s="100"/>
      <c r="D9" s="101"/>
      <c r="E9" s="100"/>
      <c r="F9" s="109"/>
      <c r="G9" s="110"/>
      <c r="H9" s="110"/>
      <c r="I9" s="132"/>
      <c r="J9" s="133"/>
      <c r="K9" s="134"/>
      <c r="L9" s="135"/>
      <c r="M9" s="114"/>
      <c r="N9" s="50"/>
      <c r="O9" s="50"/>
      <c r="P9" s="50"/>
      <c r="Q9" s="50"/>
      <c r="R9" s="120"/>
    </row>
    <row r="10" spans="2:18" ht="13.5" thickBot="1" x14ac:dyDescent="0.35">
      <c r="B10" s="9"/>
      <c r="D10" s="1"/>
      <c r="E10" s="136"/>
      <c r="F10" s="137"/>
      <c r="G10" s="138"/>
      <c r="H10" s="139"/>
      <c r="I10" s="140"/>
      <c r="J10" s="141"/>
      <c r="K10" s="141"/>
      <c r="L10" s="142"/>
      <c r="M10" s="143"/>
      <c r="R10" s="144"/>
    </row>
    <row r="11" spans="2:18" ht="13" x14ac:dyDescent="0.3">
      <c r="B11" s="145"/>
      <c r="E11" s="136"/>
      <c r="L11" s="149"/>
      <c r="M11" s="1"/>
      <c r="N11" s="1"/>
      <c r="O11" s="1"/>
      <c r="P11" s="1"/>
      <c r="Q11" s="1"/>
      <c r="R11" s="120"/>
    </row>
    <row r="12" spans="2:18" x14ac:dyDescent="0.25">
      <c r="E12" s="136"/>
      <c r="L12" s="149"/>
      <c r="R12" s="150" t="s">
        <v>59</v>
      </c>
    </row>
    <row r="13" spans="2:18" ht="13" x14ac:dyDescent="0.3">
      <c r="E13" s="136"/>
      <c r="F13" s="151"/>
      <c r="G13" s="152"/>
      <c r="H13" s="152"/>
      <c r="I13" s="153" t="s">
        <v>57</v>
      </c>
      <c r="J13" s="154">
        <f t="shared" ref="J13:R13" si="0">SUM(J56:J211)</f>
        <v>339535.05615553213</v>
      </c>
      <c r="K13" s="154">
        <f t="shared" si="0"/>
        <v>473192.02161859366</v>
      </c>
      <c r="L13" s="155">
        <f t="shared" si="0"/>
        <v>-133656.96546306132</v>
      </c>
      <c r="M13" s="156">
        <f t="shared" si="0"/>
        <v>-10966.55718640126</v>
      </c>
      <c r="N13" s="154">
        <f t="shared" si="0"/>
        <v>-144623.52264946254</v>
      </c>
      <c r="O13" s="154">
        <f t="shared" si="0"/>
        <v>0</v>
      </c>
      <c r="P13" s="154">
        <f t="shared" si="0"/>
        <v>0</v>
      </c>
      <c r="Q13" s="154">
        <f t="shared" si="0"/>
        <v>0</v>
      </c>
      <c r="R13" s="155">
        <f t="shared" si="0"/>
        <v>-144623.52264946254</v>
      </c>
    </row>
    <row r="14" spans="2:18" ht="13" x14ac:dyDescent="0.3">
      <c r="E14" s="136"/>
      <c r="F14" s="157"/>
      <c r="G14" s="157"/>
      <c r="H14" s="157"/>
      <c r="I14" s="158" t="s">
        <v>58</v>
      </c>
      <c r="J14" s="154">
        <f>SUM(J20:J211)</f>
        <v>1285593.0099999998</v>
      </c>
      <c r="K14" s="154">
        <f>SUM(K20:K211)</f>
        <v>1791662.8764894628</v>
      </c>
      <c r="L14" s="155">
        <f>SUM(L20:L211)</f>
        <v>-506069.86648946401</v>
      </c>
      <c r="M14" s="217">
        <v>-41523.044548732927</v>
      </c>
      <c r="N14" s="154">
        <f>SUM(N20:N211)</f>
        <v>-547592.91103819665</v>
      </c>
      <c r="O14" s="154">
        <f>SUM(O20:O211)</f>
        <v>0</v>
      </c>
      <c r="P14" s="154">
        <f>SUM(P20:P211)</f>
        <v>0</v>
      </c>
      <c r="Q14" s="154">
        <f>SUM(Q20:Q211)</f>
        <v>0</v>
      </c>
      <c r="R14" s="155">
        <f>SUM(R20:R211)</f>
        <v>-547592.91103819665</v>
      </c>
    </row>
    <row r="15" spans="2:18" x14ac:dyDescent="0.25">
      <c r="B15" s="159" t="s">
        <v>81</v>
      </c>
      <c r="E15" s="136"/>
      <c r="J15" s="147"/>
      <c r="L15" s="149"/>
      <c r="M15" s="225"/>
      <c r="N15" s="160"/>
      <c r="O15" s="160"/>
      <c r="P15" s="160"/>
      <c r="Q15" s="160"/>
      <c r="R15" s="161" t="s">
        <v>20</v>
      </c>
    </row>
    <row r="16" spans="2:18" x14ac:dyDescent="0.25">
      <c r="B16" s="162" t="str">
        <f>"** Actual Trued-Up CY"&amp;R1&amp;" Charge reflects "&amp;R1&amp;" True-UP Rate x MW"</f>
        <v>** Actual Trued-Up CY2023 Charge reflects 2023 True-UP Rate x MW</v>
      </c>
      <c r="E16" s="136"/>
      <c r="F16" s="110"/>
      <c r="G16" s="5"/>
      <c r="J16" s="163"/>
      <c r="L16" s="164" t="s">
        <v>11</v>
      </c>
      <c r="M16" s="160"/>
      <c r="N16" s="160"/>
      <c r="O16" s="160"/>
      <c r="P16" s="160"/>
      <c r="Q16" s="160"/>
      <c r="R16" s="165"/>
    </row>
    <row r="17" spans="1:18" x14ac:dyDescent="0.25">
      <c r="B17" s="166" t="s">
        <v>61</v>
      </c>
      <c r="E17" s="136"/>
      <c r="I17" s="167"/>
      <c r="J17" s="168"/>
      <c r="K17" s="169"/>
      <c r="L17" s="169"/>
      <c r="M17" s="169"/>
      <c r="N17" s="169"/>
      <c r="O17" s="169"/>
      <c r="P17" s="169"/>
      <c r="Q17" s="169"/>
      <c r="R17" s="170"/>
    </row>
    <row r="18" spans="1:18" ht="3.65" customHeight="1" x14ac:dyDescent="0.25">
      <c r="I18" s="171"/>
      <c r="J18" s="168"/>
      <c r="K18" s="171"/>
      <c r="L18" s="171"/>
      <c r="M18" s="172"/>
      <c r="N18" s="172"/>
      <c r="O18" s="172"/>
      <c r="P18" s="172"/>
      <c r="Q18" s="172"/>
      <c r="R18" s="173"/>
    </row>
    <row r="19" spans="1:18" ht="38.25" customHeight="1" x14ac:dyDescent="0.25">
      <c r="B19" s="174" t="s">
        <v>52</v>
      </c>
      <c r="C19" s="226" t="s">
        <v>4</v>
      </c>
      <c r="D19" s="226" t="s">
        <v>5</v>
      </c>
      <c r="E19" s="219" t="s">
        <v>0</v>
      </c>
      <c r="F19" s="220" t="s">
        <v>12</v>
      </c>
      <c r="G19" s="227" t="s">
        <v>1</v>
      </c>
      <c r="H19" s="175" t="s">
        <v>47</v>
      </c>
      <c r="I19" s="175" t="s">
        <v>45</v>
      </c>
      <c r="J19" s="176" t="str">
        <f>"True-Up Charge"</f>
        <v>True-Up Charge</v>
      </c>
      <c r="K19" s="176" t="s">
        <v>46</v>
      </c>
      <c r="L19" s="177" t="s">
        <v>3</v>
      </c>
      <c r="M19" s="178" t="s">
        <v>7</v>
      </c>
      <c r="N19" s="179" t="s">
        <v>99</v>
      </c>
      <c r="O19" s="179" t="s">
        <v>83</v>
      </c>
      <c r="P19" s="179" t="s">
        <v>84</v>
      </c>
      <c r="Q19" s="179" t="s">
        <v>85</v>
      </c>
      <c r="R19" s="180" t="s">
        <v>2</v>
      </c>
    </row>
    <row r="20" spans="1:18" s="50" customFormat="1" ht="12.75" customHeight="1" x14ac:dyDescent="0.25">
      <c r="A20" s="110">
        <v>1</v>
      </c>
      <c r="B20" s="181">
        <f>DATE($R$1,A20,1)</f>
        <v>44927</v>
      </c>
      <c r="C20" s="221">
        <v>44960</v>
      </c>
      <c r="D20" s="221">
        <v>44981</v>
      </c>
      <c r="E20" s="182" t="s">
        <v>21</v>
      </c>
      <c r="F20" s="110">
        <v>9</v>
      </c>
      <c r="G20" s="183">
        <v>2810</v>
      </c>
      <c r="H20" s="184">
        <f>+$K$3</f>
        <v>17.534722508656106</v>
      </c>
      <c r="I20" s="184">
        <f t="shared" ref="I20:I63" si="1">$J$3</f>
        <v>12.581896396484561</v>
      </c>
      <c r="J20" s="185">
        <f t="shared" ref="J20:J108" si="2">+$G20*I20</f>
        <v>35355.128874121619</v>
      </c>
      <c r="K20" s="186">
        <f>+$G20*H20</f>
        <v>49272.57024932366</v>
      </c>
      <c r="L20" s="187">
        <f t="shared" ref="L20:L34" si="3">+J20-K20</f>
        <v>-13917.441375202041</v>
      </c>
      <c r="M20" s="188">
        <f>G20/$G$212*$M$14</f>
        <v>-1141.9263949376532</v>
      </c>
      <c r="N20" s="189">
        <f>SUM(L20:M20)</f>
        <v>-15059.367770139694</v>
      </c>
      <c r="O20" s="188">
        <v>0</v>
      </c>
      <c r="P20" s="188">
        <v>0</v>
      </c>
      <c r="Q20" s="188">
        <v>0</v>
      </c>
      <c r="R20" s="189">
        <f>+N20-Q20</f>
        <v>-15059.367770139694</v>
      </c>
    </row>
    <row r="21" spans="1:18" x14ac:dyDescent="0.25">
      <c r="A21" s="146">
        <v>2</v>
      </c>
      <c r="B21" s="181">
        <f t="shared" ref="B21:B108" si="4">DATE($R$1,A21,1)</f>
        <v>44958</v>
      </c>
      <c r="C21" s="221">
        <v>44988</v>
      </c>
      <c r="D21" s="221">
        <v>45009</v>
      </c>
      <c r="E21" s="190" t="s">
        <v>21</v>
      </c>
      <c r="F21" s="146">
        <v>9</v>
      </c>
      <c r="G21" s="183">
        <v>2771</v>
      </c>
      <c r="H21" s="184">
        <f t="shared" ref="H21:H84" si="5">+$K$3</f>
        <v>17.534722508656106</v>
      </c>
      <c r="I21" s="184">
        <f t="shared" si="1"/>
        <v>12.581896396484561</v>
      </c>
      <c r="J21" s="185">
        <f t="shared" si="2"/>
        <v>34864.434914658719</v>
      </c>
      <c r="K21" s="186">
        <f t="shared" ref="K21:K33" si="6">+$G21*H21</f>
        <v>48588.716071486073</v>
      </c>
      <c r="L21" s="187">
        <f t="shared" si="3"/>
        <v>-13724.281156827354</v>
      </c>
      <c r="M21" s="188">
        <f t="shared" ref="M21:M84" si="7">G21/$G$212*$M$14</f>
        <v>-1126.0775944385184</v>
      </c>
      <c r="N21" s="189">
        <f t="shared" ref="N21:N84" si="8">SUM(L21:M21)</f>
        <v>-14850.358751265872</v>
      </c>
      <c r="O21" s="188">
        <v>0</v>
      </c>
      <c r="P21" s="188">
        <v>0</v>
      </c>
      <c r="Q21" s="188">
        <v>0</v>
      </c>
      <c r="R21" s="189">
        <f t="shared" ref="R21:R84" si="9">+N21-Q21</f>
        <v>-14850.358751265872</v>
      </c>
    </row>
    <row r="22" spans="1:18" x14ac:dyDescent="0.25">
      <c r="A22" s="146">
        <v>3</v>
      </c>
      <c r="B22" s="181">
        <f t="shared" si="4"/>
        <v>44986</v>
      </c>
      <c r="C22" s="221">
        <v>45021</v>
      </c>
      <c r="D22" s="221">
        <v>45040</v>
      </c>
      <c r="E22" s="190" t="s">
        <v>21</v>
      </c>
      <c r="F22" s="146">
        <v>9</v>
      </c>
      <c r="G22" s="183">
        <v>2389</v>
      </c>
      <c r="H22" s="184">
        <f t="shared" si="5"/>
        <v>17.534722508656106</v>
      </c>
      <c r="I22" s="184">
        <f t="shared" si="1"/>
        <v>12.581896396484561</v>
      </c>
      <c r="J22" s="185">
        <f t="shared" si="2"/>
        <v>30058.150491201617</v>
      </c>
      <c r="K22" s="186">
        <f t="shared" si="6"/>
        <v>41890.45207317944</v>
      </c>
      <c r="L22" s="187">
        <f t="shared" si="3"/>
        <v>-11832.301581977823</v>
      </c>
      <c r="M22" s="188">
        <f t="shared" si="7"/>
        <v>-970.84062544699418</v>
      </c>
      <c r="N22" s="189">
        <f t="shared" si="8"/>
        <v>-12803.142207424817</v>
      </c>
      <c r="O22" s="188">
        <v>0</v>
      </c>
      <c r="P22" s="188">
        <v>0</v>
      </c>
      <c r="Q22" s="188">
        <v>0</v>
      </c>
      <c r="R22" s="189">
        <f t="shared" si="9"/>
        <v>-12803.142207424817</v>
      </c>
    </row>
    <row r="23" spans="1:18" x14ac:dyDescent="0.25">
      <c r="A23" s="110">
        <v>4</v>
      </c>
      <c r="B23" s="181">
        <f t="shared" si="4"/>
        <v>45017</v>
      </c>
      <c r="C23" s="221">
        <v>45049</v>
      </c>
      <c r="D23" s="221">
        <v>45070</v>
      </c>
      <c r="E23" s="190" t="s">
        <v>21</v>
      </c>
      <c r="F23" s="146">
        <v>9</v>
      </c>
      <c r="G23" s="183">
        <v>2392</v>
      </c>
      <c r="H23" s="184">
        <f t="shared" si="5"/>
        <v>17.534722508656106</v>
      </c>
      <c r="I23" s="184">
        <f t="shared" si="1"/>
        <v>12.581896396484561</v>
      </c>
      <c r="J23" s="185">
        <f t="shared" si="2"/>
        <v>30095.896180391072</v>
      </c>
      <c r="K23" s="186">
        <f t="shared" si="6"/>
        <v>41943.056240705402</v>
      </c>
      <c r="L23" s="187">
        <f t="shared" si="3"/>
        <v>-11847.160060314331</v>
      </c>
      <c r="M23" s="188">
        <f t="shared" si="7"/>
        <v>-972.05976394692755</v>
      </c>
      <c r="N23" s="189">
        <f t="shared" si="8"/>
        <v>-12819.219824261258</v>
      </c>
      <c r="O23" s="188">
        <v>0</v>
      </c>
      <c r="P23" s="188">
        <v>0</v>
      </c>
      <c r="Q23" s="188">
        <v>0</v>
      </c>
      <c r="R23" s="189">
        <f t="shared" si="9"/>
        <v>-12819.219824261258</v>
      </c>
    </row>
    <row r="24" spans="1:18" ht="12" customHeight="1" x14ac:dyDescent="0.25">
      <c r="A24" s="146">
        <v>5</v>
      </c>
      <c r="B24" s="181">
        <f t="shared" si="4"/>
        <v>45047</v>
      </c>
      <c r="C24" s="221">
        <v>45082</v>
      </c>
      <c r="D24" s="221">
        <v>45103</v>
      </c>
      <c r="E24" s="52" t="s">
        <v>21</v>
      </c>
      <c r="F24" s="146">
        <v>9</v>
      </c>
      <c r="G24" s="183">
        <v>3231</v>
      </c>
      <c r="H24" s="184">
        <f t="shared" si="5"/>
        <v>17.534722508656106</v>
      </c>
      <c r="I24" s="184">
        <f t="shared" si="1"/>
        <v>12.581896396484561</v>
      </c>
      <c r="J24" s="185">
        <f t="shared" si="2"/>
        <v>40652.107257041615</v>
      </c>
      <c r="K24" s="186">
        <f t="shared" si="6"/>
        <v>56654.688425467881</v>
      </c>
      <c r="L24" s="187">
        <f t="shared" si="3"/>
        <v>-16002.581168426266</v>
      </c>
      <c r="M24" s="188">
        <f t="shared" si="7"/>
        <v>-1313.0121644283122</v>
      </c>
      <c r="N24" s="189">
        <f t="shared" si="8"/>
        <v>-17315.59333285458</v>
      </c>
      <c r="O24" s="188">
        <v>0</v>
      </c>
      <c r="P24" s="188">
        <v>0</v>
      </c>
      <c r="Q24" s="188">
        <v>0</v>
      </c>
      <c r="R24" s="189">
        <f t="shared" si="9"/>
        <v>-17315.59333285458</v>
      </c>
    </row>
    <row r="25" spans="1:18" x14ac:dyDescent="0.25">
      <c r="A25" s="146">
        <v>6</v>
      </c>
      <c r="B25" s="181">
        <f t="shared" si="4"/>
        <v>45078</v>
      </c>
      <c r="C25" s="221">
        <v>45112</v>
      </c>
      <c r="D25" s="221">
        <v>45131</v>
      </c>
      <c r="E25" s="52" t="s">
        <v>21</v>
      </c>
      <c r="F25" s="146">
        <v>9</v>
      </c>
      <c r="G25" s="183">
        <v>4100</v>
      </c>
      <c r="H25" s="184">
        <f t="shared" si="5"/>
        <v>17.534722508656106</v>
      </c>
      <c r="I25" s="184">
        <f t="shared" si="1"/>
        <v>12.581896396484561</v>
      </c>
      <c r="J25" s="185">
        <f t="shared" si="2"/>
        <v>51585.775225586702</v>
      </c>
      <c r="K25" s="186">
        <f t="shared" si="6"/>
        <v>71892.362285490031</v>
      </c>
      <c r="L25" s="191">
        <f t="shared" si="3"/>
        <v>-20306.58705990333</v>
      </c>
      <c r="M25" s="188">
        <f t="shared" si="7"/>
        <v>-1666.1559499090313</v>
      </c>
      <c r="N25" s="189">
        <f t="shared" si="8"/>
        <v>-21972.743009812362</v>
      </c>
      <c r="O25" s="188">
        <v>0</v>
      </c>
      <c r="P25" s="188">
        <v>0</v>
      </c>
      <c r="Q25" s="188">
        <v>0</v>
      </c>
      <c r="R25" s="189">
        <f t="shared" si="9"/>
        <v>-21972.743009812362</v>
      </c>
    </row>
    <row r="26" spans="1:18" x14ac:dyDescent="0.25">
      <c r="A26" s="110">
        <v>7</v>
      </c>
      <c r="B26" s="181">
        <f t="shared" si="4"/>
        <v>45108</v>
      </c>
      <c r="C26" s="221">
        <v>45141</v>
      </c>
      <c r="D26" s="221">
        <v>45162</v>
      </c>
      <c r="E26" s="52" t="s">
        <v>21</v>
      </c>
      <c r="F26" s="146">
        <v>9</v>
      </c>
      <c r="G26" s="183">
        <v>3988</v>
      </c>
      <c r="H26" s="184">
        <f t="shared" si="5"/>
        <v>17.534722508656106</v>
      </c>
      <c r="I26" s="184">
        <f t="shared" si="1"/>
        <v>12.581896396484561</v>
      </c>
      <c r="J26" s="185">
        <f t="shared" si="2"/>
        <v>50176.602829180432</v>
      </c>
      <c r="K26" s="192">
        <f t="shared" si="6"/>
        <v>69928.473364520556</v>
      </c>
      <c r="L26" s="191">
        <f t="shared" si="3"/>
        <v>-19751.870535340124</v>
      </c>
      <c r="M26" s="188">
        <f t="shared" si="7"/>
        <v>-1620.6414459115163</v>
      </c>
      <c r="N26" s="189">
        <f t="shared" si="8"/>
        <v>-21372.511981251639</v>
      </c>
      <c r="O26" s="188">
        <v>0</v>
      </c>
      <c r="P26" s="188">
        <v>0</v>
      </c>
      <c r="Q26" s="188">
        <v>0</v>
      </c>
      <c r="R26" s="189">
        <f t="shared" si="9"/>
        <v>-21372.511981251639</v>
      </c>
    </row>
    <row r="27" spans="1:18" x14ac:dyDescent="0.25">
      <c r="A27" s="146">
        <v>8</v>
      </c>
      <c r="B27" s="181">
        <f t="shared" si="4"/>
        <v>45139</v>
      </c>
      <c r="C27" s="221">
        <v>45174</v>
      </c>
      <c r="D27" s="221">
        <v>45194</v>
      </c>
      <c r="E27" s="52" t="s">
        <v>21</v>
      </c>
      <c r="F27" s="146">
        <v>9</v>
      </c>
      <c r="G27" s="183">
        <v>4265</v>
      </c>
      <c r="H27" s="184">
        <f t="shared" si="5"/>
        <v>17.534722508656106</v>
      </c>
      <c r="I27" s="184">
        <f t="shared" si="1"/>
        <v>12.581896396484561</v>
      </c>
      <c r="J27" s="185">
        <f t="shared" si="2"/>
        <v>53661.788131006651</v>
      </c>
      <c r="K27" s="192">
        <f t="shared" si="6"/>
        <v>74785.591499418297</v>
      </c>
      <c r="L27" s="191">
        <f t="shared" si="3"/>
        <v>-21123.803368411645</v>
      </c>
      <c r="M27" s="188">
        <f t="shared" si="7"/>
        <v>-1733.2085674053703</v>
      </c>
      <c r="N27" s="189">
        <f t="shared" si="8"/>
        <v>-22857.011935817016</v>
      </c>
      <c r="O27" s="188">
        <v>0</v>
      </c>
      <c r="P27" s="188">
        <v>0</v>
      </c>
      <c r="Q27" s="188">
        <v>0</v>
      </c>
      <c r="R27" s="189">
        <f t="shared" si="9"/>
        <v>-22857.011935817016</v>
      </c>
    </row>
    <row r="28" spans="1:18" x14ac:dyDescent="0.25">
      <c r="A28" s="146">
        <v>9</v>
      </c>
      <c r="B28" s="181">
        <f t="shared" si="4"/>
        <v>45170</v>
      </c>
      <c r="C28" s="221">
        <v>45203</v>
      </c>
      <c r="D28" s="221">
        <v>45223</v>
      </c>
      <c r="E28" s="52" t="s">
        <v>21</v>
      </c>
      <c r="F28" s="146">
        <v>9</v>
      </c>
      <c r="G28" s="183">
        <v>4016</v>
      </c>
      <c r="H28" s="184">
        <f t="shared" si="5"/>
        <v>17.534722508656106</v>
      </c>
      <c r="I28" s="184">
        <f t="shared" si="1"/>
        <v>12.581896396484561</v>
      </c>
      <c r="J28" s="185">
        <f t="shared" si="2"/>
        <v>50528.895928282</v>
      </c>
      <c r="K28" s="192">
        <f t="shared" si="6"/>
        <v>70419.445594762918</v>
      </c>
      <c r="L28" s="191">
        <f t="shared" si="3"/>
        <v>-19890.549666480918</v>
      </c>
      <c r="M28" s="188">
        <f t="shared" si="7"/>
        <v>-1632.0200719108952</v>
      </c>
      <c r="N28" s="189">
        <f t="shared" si="8"/>
        <v>-21522.569738391812</v>
      </c>
      <c r="O28" s="188">
        <v>0</v>
      </c>
      <c r="P28" s="188">
        <v>0</v>
      </c>
      <c r="Q28" s="188">
        <v>0</v>
      </c>
      <c r="R28" s="189">
        <f t="shared" si="9"/>
        <v>-21522.569738391812</v>
      </c>
    </row>
    <row r="29" spans="1:18" x14ac:dyDescent="0.25">
      <c r="A29" s="110">
        <v>10</v>
      </c>
      <c r="B29" s="181">
        <f t="shared" si="4"/>
        <v>45200</v>
      </c>
      <c r="C29" s="221">
        <v>45233</v>
      </c>
      <c r="D29" s="221">
        <v>45254</v>
      </c>
      <c r="E29" s="52" t="s">
        <v>21</v>
      </c>
      <c r="F29" s="146">
        <v>9</v>
      </c>
      <c r="G29" s="183">
        <v>3105</v>
      </c>
      <c r="H29" s="184">
        <f t="shared" si="5"/>
        <v>17.534722508656106</v>
      </c>
      <c r="I29" s="184">
        <f t="shared" si="1"/>
        <v>12.581896396484561</v>
      </c>
      <c r="J29" s="185">
        <f t="shared" si="2"/>
        <v>39066.788311084565</v>
      </c>
      <c r="K29" s="192">
        <f t="shared" si="6"/>
        <v>54445.31338937721</v>
      </c>
      <c r="L29" s="191">
        <f t="shared" si="3"/>
        <v>-15378.525078292645</v>
      </c>
      <c r="M29" s="188">
        <f t="shared" si="7"/>
        <v>-1261.8083474311079</v>
      </c>
      <c r="N29" s="189">
        <f t="shared" si="8"/>
        <v>-16640.333425723751</v>
      </c>
      <c r="O29" s="188">
        <v>0</v>
      </c>
      <c r="P29" s="188">
        <v>0</v>
      </c>
      <c r="Q29" s="188">
        <v>0</v>
      </c>
      <c r="R29" s="189">
        <f t="shared" si="9"/>
        <v>-16640.333425723751</v>
      </c>
    </row>
    <row r="30" spans="1:18" x14ac:dyDescent="0.25">
      <c r="A30" s="146">
        <v>11</v>
      </c>
      <c r="B30" s="181">
        <f t="shared" si="4"/>
        <v>45231</v>
      </c>
      <c r="C30" s="221">
        <v>45266</v>
      </c>
      <c r="D30" s="221">
        <v>45285</v>
      </c>
      <c r="E30" s="52" t="s">
        <v>21</v>
      </c>
      <c r="F30" s="146">
        <v>9</v>
      </c>
      <c r="G30" s="183">
        <v>2513</v>
      </c>
      <c r="H30" s="184">
        <f t="shared" si="5"/>
        <v>17.534722508656106</v>
      </c>
      <c r="I30" s="184">
        <f t="shared" si="1"/>
        <v>12.581896396484561</v>
      </c>
      <c r="J30" s="185">
        <f t="shared" si="2"/>
        <v>31618.305644365701</v>
      </c>
      <c r="K30" s="192">
        <f t="shared" si="6"/>
        <v>44064.757664252793</v>
      </c>
      <c r="L30" s="191">
        <f t="shared" si="3"/>
        <v>-12446.452019887092</v>
      </c>
      <c r="M30" s="188">
        <f t="shared" si="7"/>
        <v>-1021.2316834442429</v>
      </c>
      <c r="N30" s="189">
        <f t="shared" si="8"/>
        <v>-13467.683703331335</v>
      </c>
      <c r="O30" s="188">
        <v>0</v>
      </c>
      <c r="P30" s="188">
        <v>0</v>
      </c>
      <c r="Q30" s="188">
        <v>0</v>
      </c>
      <c r="R30" s="189">
        <f t="shared" si="9"/>
        <v>-13467.683703331335</v>
      </c>
    </row>
    <row r="31" spans="1:18" x14ac:dyDescent="0.25">
      <c r="A31" s="146">
        <v>12</v>
      </c>
      <c r="B31" s="181">
        <f t="shared" si="4"/>
        <v>45261</v>
      </c>
      <c r="C31" s="222">
        <v>45294</v>
      </c>
      <c r="D31" s="223">
        <v>45315</v>
      </c>
      <c r="E31" s="52" t="s">
        <v>21</v>
      </c>
      <c r="F31" s="146">
        <v>9</v>
      </c>
      <c r="G31" s="183">
        <v>2474</v>
      </c>
      <c r="H31" s="193">
        <f t="shared" si="5"/>
        <v>17.534722508656106</v>
      </c>
      <c r="I31" s="193">
        <f t="shared" si="1"/>
        <v>12.581896396484561</v>
      </c>
      <c r="J31" s="194">
        <f t="shared" si="2"/>
        <v>31127.611684902804</v>
      </c>
      <c r="K31" s="195">
        <f t="shared" si="6"/>
        <v>43380.903486415205</v>
      </c>
      <c r="L31" s="196">
        <f t="shared" si="3"/>
        <v>-12253.291801512401</v>
      </c>
      <c r="M31" s="188">
        <f t="shared" si="7"/>
        <v>-1005.3828829451081</v>
      </c>
      <c r="N31" s="189">
        <f t="shared" si="8"/>
        <v>-13258.67468445751</v>
      </c>
      <c r="O31" s="188">
        <v>0</v>
      </c>
      <c r="P31" s="188">
        <v>0</v>
      </c>
      <c r="Q31" s="188">
        <v>0</v>
      </c>
      <c r="R31" s="189">
        <f t="shared" si="9"/>
        <v>-13258.67468445751</v>
      </c>
    </row>
    <row r="32" spans="1:18" x14ac:dyDescent="0.25">
      <c r="A32" s="110">
        <v>1</v>
      </c>
      <c r="B32" s="197">
        <f t="shared" si="4"/>
        <v>44927</v>
      </c>
      <c r="C32" s="198">
        <f t="shared" ref="C32:D43" si="10">+C20</f>
        <v>44960</v>
      </c>
      <c r="D32" s="198">
        <f t="shared" si="10"/>
        <v>44981</v>
      </c>
      <c r="E32" s="199" t="s">
        <v>22</v>
      </c>
      <c r="F32" s="200">
        <v>9</v>
      </c>
      <c r="G32" s="183">
        <v>2724</v>
      </c>
      <c r="H32" s="184">
        <f t="shared" si="5"/>
        <v>17.534722508656106</v>
      </c>
      <c r="I32" s="184">
        <f t="shared" si="1"/>
        <v>12.581896396484561</v>
      </c>
      <c r="J32" s="185">
        <f t="shared" si="2"/>
        <v>34273.085784023948</v>
      </c>
      <c r="K32" s="186">
        <f t="shared" si="6"/>
        <v>47764.584113579236</v>
      </c>
      <c r="L32" s="187">
        <f t="shared" si="3"/>
        <v>-13491.498329555288</v>
      </c>
      <c r="M32" s="188">
        <f t="shared" si="7"/>
        <v>-1106.9777579395613</v>
      </c>
      <c r="N32" s="189">
        <f t="shared" si="8"/>
        <v>-14598.47608749485</v>
      </c>
      <c r="O32" s="188">
        <v>0</v>
      </c>
      <c r="P32" s="188">
        <v>0</v>
      </c>
      <c r="Q32" s="188">
        <v>0</v>
      </c>
      <c r="R32" s="189">
        <f t="shared" si="9"/>
        <v>-14598.47608749485</v>
      </c>
    </row>
    <row r="33" spans="1:18" x14ac:dyDescent="0.25">
      <c r="A33" s="146">
        <v>2</v>
      </c>
      <c r="B33" s="181">
        <f t="shared" si="4"/>
        <v>44958</v>
      </c>
      <c r="C33" s="201">
        <f t="shared" si="10"/>
        <v>44988</v>
      </c>
      <c r="D33" s="201">
        <f t="shared" si="10"/>
        <v>45009</v>
      </c>
      <c r="E33" s="190" t="s">
        <v>22</v>
      </c>
      <c r="F33" s="146">
        <v>9</v>
      </c>
      <c r="G33" s="183">
        <v>2757</v>
      </c>
      <c r="H33" s="184">
        <f t="shared" si="5"/>
        <v>17.534722508656106</v>
      </c>
      <c r="I33" s="184">
        <f t="shared" si="1"/>
        <v>12.581896396484561</v>
      </c>
      <c r="J33" s="185">
        <f t="shared" si="2"/>
        <v>34688.288365107932</v>
      </c>
      <c r="K33" s="186">
        <f t="shared" si="6"/>
        <v>48343.229956364885</v>
      </c>
      <c r="L33" s="187">
        <f t="shared" si="3"/>
        <v>-13654.941591256953</v>
      </c>
      <c r="M33" s="188">
        <f t="shared" si="7"/>
        <v>-1120.3882814388292</v>
      </c>
      <c r="N33" s="189">
        <f t="shared" si="8"/>
        <v>-14775.329872695782</v>
      </c>
      <c r="O33" s="188">
        <v>0</v>
      </c>
      <c r="P33" s="188">
        <v>0</v>
      </c>
      <c r="Q33" s="188">
        <v>0</v>
      </c>
      <c r="R33" s="189">
        <f t="shared" si="9"/>
        <v>-14775.329872695782</v>
      </c>
    </row>
    <row r="34" spans="1:18" x14ac:dyDescent="0.25">
      <c r="A34" s="146">
        <v>3</v>
      </c>
      <c r="B34" s="181">
        <f t="shared" si="4"/>
        <v>44986</v>
      </c>
      <c r="C34" s="201">
        <f t="shared" si="10"/>
        <v>45021</v>
      </c>
      <c r="D34" s="201">
        <f t="shared" si="10"/>
        <v>45040</v>
      </c>
      <c r="E34" s="190" t="s">
        <v>22</v>
      </c>
      <c r="F34" s="146">
        <v>9</v>
      </c>
      <c r="G34" s="183">
        <v>2641</v>
      </c>
      <c r="H34" s="184">
        <f t="shared" si="5"/>
        <v>17.534722508656106</v>
      </c>
      <c r="I34" s="184">
        <f t="shared" si="1"/>
        <v>12.581896396484561</v>
      </c>
      <c r="J34" s="185">
        <f t="shared" si="2"/>
        <v>33228.788383115723</v>
      </c>
      <c r="K34" s="186">
        <f t="shared" ref="K34:K93" si="11">+$G34*H34</f>
        <v>46309.202145360774</v>
      </c>
      <c r="L34" s="187">
        <f t="shared" si="3"/>
        <v>-13080.413762245051</v>
      </c>
      <c r="M34" s="188">
        <f t="shared" si="7"/>
        <v>-1073.2482594414028</v>
      </c>
      <c r="N34" s="189">
        <f t="shared" si="8"/>
        <v>-14153.662021686454</v>
      </c>
      <c r="O34" s="188">
        <v>0</v>
      </c>
      <c r="P34" s="188">
        <v>0</v>
      </c>
      <c r="Q34" s="188">
        <v>0</v>
      </c>
      <c r="R34" s="189">
        <f t="shared" si="9"/>
        <v>-14153.662021686454</v>
      </c>
    </row>
    <row r="35" spans="1:18" x14ac:dyDescent="0.25">
      <c r="A35" s="110">
        <v>4</v>
      </c>
      <c r="B35" s="181">
        <f t="shared" si="4"/>
        <v>45017</v>
      </c>
      <c r="C35" s="201">
        <f t="shared" si="10"/>
        <v>45049</v>
      </c>
      <c r="D35" s="201">
        <f t="shared" si="10"/>
        <v>45070</v>
      </c>
      <c r="E35" s="190" t="s">
        <v>22</v>
      </c>
      <c r="F35" s="146">
        <v>9</v>
      </c>
      <c r="G35" s="183">
        <v>2417</v>
      </c>
      <c r="H35" s="184">
        <f t="shared" si="5"/>
        <v>17.534722508656106</v>
      </c>
      <c r="I35" s="184">
        <f t="shared" si="1"/>
        <v>12.581896396484561</v>
      </c>
      <c r="J35" s="185">
        <f t="shared" si="2"/>
        <v>30410.443590303184</v>
      </c>
      <c r="K35" s="186">
        <f t="shared" si="11"/>
        <v>42381.424303421809</v>
      </c>
      <c r="L35" s="187">
        <f t="shared" ref="L35:L57" si="12">+J35-K35</f>
        <v>-11970.980713118624</v>
      </c>
      <c r="M35" s="188">
        <f t="shared" si="7"/>
        <v>-982.21925144637282</v>
      </c>
      <c r="N35" s="189">
        <f t="shared" si="8"/>
        <v>-12953.199964564998</v>
      </c>
      <c r="O35" s="188">
        <v>0</v>
      </c>
      <c r="P35" s="188">
        <v>0</v>
      </c>
      <c r="Q35" s="188">
        <v>0</v>
      </c>
      <c r="R35" s="189">
        <f t="shared" si="9"/>
        <v>-12953.199964564998</v>
      </c>
    </row>
    <row r="36" spans="1:18" x14ac:dyDescent="0.25">
      <c r="A36" s="146">
        <v>5</v>
      </c>
      <c r="B36" s="181">
        <f t="shared" si="4"/>
        <v>45047</v>
      </c>
      <c r="C36" s="201">
        <f t="shared" si="10"/>
        <v>45082</v>
      </c>
      <c r="D36" s="201">
        <f t="shared" si="10"/>
        <v>45103</v>
      </c>
      <c r="E36" s="52" t="s">
        <v>22</v>
      </c>
      <c r="F36" s="146">
        <v>9</v>
      </c>
      <c r="G36" s="183">
        <v>2844</v>
      </c>
      <c r="H36" s="184">
        <f t="shared" si="5"/>
        <v>17.534722508656106</v>
      </c>
      <c r="I36" s="184">
        <f t="shared" si="1"/>
        <v>12.581896396484561</v>
      </c>
      <c r="J36" s="185">
        <f t="shared" si="2"/>
        <v>35782.913351602088</v>
      </c>
      <c r="K36" s="186">
        <f t="shared" si="11"/>
        <v>49868.750814617968</v>
      </c>
      <c r="L36" s="187">
        <f t="shared" si="12"/>
        <v>-14085.83746301588</v>
      </c>
      <c r="M36" s="188">
        <f t="shared" si="7"/>
        <v>-1155.7432979368987</v>
      </c>
      <c r="N36" s="189">
        <f t="shared" si="8"/>
        <v>-15241.580760952778</v>
      </c>
      <c r="O36" s="188">
        <v>0</v>
      </c>
      <c r="P36" s="188">
        <v>0</v>
      </c>
      <c r="Q36" s="188">
        <v>0</v>
      </c>
      <c r="R36" s="189">
        <f t="shared" si="9"/>
        <v>-15241.580760952778</v>
      </c>
    </row>
    <row r="37" spans="1:18" x14ac:dyDescent="0.25">
      <c r="A37" s="146">
        <v>6</v>
      </c>
      <c r="B37" s="181">
        <f t="shared" si="4"/>
        <v>45078</v>
      </c>
      <c r="C37" s="201">
        <f t="shared" si="10"/>
        <v>45112</v>
      </c>
      <c r="D37" s="201">
        <f t="shared" si="10"/>
        <v>45131</v>
      </c>
      <c r="E37" s="52" t="s">
        <v>22</v>
      </c>
      <c r="F37" s="146">
        <v>9</v>
      </c>
      <c r="G37" s="183">
        <v>3500</v>
      </c>
      <c r="H37" s="184">
        <f t="shared" si="5"/>
        <v>17.534722508656106</v>
      </c>
      <c r="I37" s="184">
        <f t="shared" si="1"/>
        <v>12.581896396484561</v>
      </c>
      <c r="J37" s="185">
        <f t="shared" si="2"/>
        <v>44036.637387695962</v>
      </c>
      <c r="K37" s="186">
        <f t="shared" si="11"/>
        <v>61371.528780296372</v>
      </c>
      <c r="L37" s="191">
        <f t="shared" si="12"/>
        <v>-17334.89139260041</v>
      </c>
      <c r="M37" s="188">
        <f t="shared" si="7"/>
        <v>-1422.3282499223437</v>
      </c>
      <c r="N37" s="189">
        <f t="shared" si="8"/>
        <v>-18757.219642522752</v>
      </c>
      <c r="O37" s="188">
        <v>0</v>
      </c>
      <c r="P37" s="188">
        <v>0</v>
      </c>
      <c r="Q37" s="188">
        <v>0</v>
      </c>
      <c r="R37" s="189">
        <f t="shared" si="9"/>
        <v>-18757.219642522752</v>
      </c>
    </row>
    <row r="38" spans="1:18" x14ac:dyDescent="0.25">
      <c r="A38" s="110">
        <v>7</v>
      </c>
      <c r="B38" s="181">
        <f t="shared" si="4"/>
        <v>45108</v>
      </c>
      <c r="C38" s="201">
        <f t="shared" si="10"/>
        <v>45141</v>
      </c>
      <c r="D38" s="201">
        <f t="shared" si="10"/>
        <v>45162</v>
      </c>
      <c r="E38" s="52" t="s">
        <v>22</v>
      </c>
      <c r="F38" s="146">
        <v>9</v>
      </c>
      <c r="G38" s="183">
        <v>3569</v>
      </c>
      <c r="H38" s="184">
        <f t="shared" si="5"/>
        <v>17.534722508656106</v>
      </c>
      <c r="I38" s="184">
        <f t="shared" si="1"/>
        <v>12.581896396484561</v>
      </c>
      <c r="J38" s="185">
        <f t="shared" si="2"/>
        <v>44904.7882390534</v>
      </c>
      <c r="K38" s="192">
        <f t="shared" si="11"/>
        <v>62581.424633393639</v>
      </c>
      <c r="L38" s="191">
        <f t="shared" si="12"/>
        <v>-17676.636394340239</v>
      </c>
      <c r="M38" s="188">
        <f t="shared" si="7"/>
        <v>-1450.3684354208131</v>
      </c>
      <c r="N38" s="189">
        <f t="shared" si="8"/>
        <v>-19127.004829761052</v>
      </c>
      <c r="O38" s="188">
        <v>0</v>
      </c>
      <c r="P38" s="188">
        <v>0</v>
      </c>
      <c r="Q38" s="188">
        <v>0</v>
      </c>
      <c r="R38" s="189">
        <f t="shared" si="9"/>
        <v>-19127.004829761052</v>
      </c>
    </row>
    <row r="39" spans="1:18" x14ac:dyDescent="0.25">
      <c r="A39" s="146">
        <v>8</v>
      </c>
      <c r="B39" s="181">
        <f t="shared" si="4"/>
        <v>45139</v>
      </c>
      <c r="C39" s="201">
        <f t="shared" si="10"/>
        <v>45174</v>
      </c>
      <c r="D39" s="201">
        <f t="shared" si="10"/>
        <v>45194</v>
      </c>
      <c r="E39" s="52" t="s">
        <v>22</v>
      </c>
      <c r="F39" s="146">
        <v>9</v>
      </c>
      <c r="G39" s="183">
        <v>3766</v>
      </c>
      <c r="H39" s="184">
        <f t="shared" si="5"/>
        <v>17.534722508656106</v>
      </c>
      <c r="I39" s="184">
        <f t="shared" si="1"/>
        <v>12.581896396484561</v>
      </c>
      <c r="J39" s="185">
        <f t="shared" si="2"/>
        <v>47383.421829160856</v>
      </c>
      <c r="K39" s="192">
        <f t="shared" si="11"/>
        <v>66035.764967598894</v>
      </c>
      <c r="L39" s="191">
        <f t="shared" si="12"/>
        <v>-18652.343138438038</v>
      </c>
      <c r="M39" s="188">
        <f t="shared" si="7"/>
        <v>-1530.4251969164418</v>
      </c>
      <c r="N39" s="189">
        <f t="shared" si="8"/>
        <v>-20182.768335354482</v>
      </c>
      <c r="O39" s="188">
        <v>0</v>
      </c>
      <c r="P39" s="188">
        <v>0</v>
      </c>
      <c r="Q39" s="188">
        <v>0</v>
      </c>
      <c r="R39" s="189">
        <f t="shared" si="9"/>
        <v>-20182.768335354482</v>
      </c>
    </row>
    <row r="40" spans="1:18" x14ac:dyDescent="0.25">
      <c r="A40" s="146">
        <v>9</v>
      </c>
      <c r="B40" s="181">
        <f t="shared" si="4"/>
        <v>45170</v>
      </c>
      <c r="C40" s="201">
        <f t="shared" si="10"/>
        <v>45203</v>
      </c>
      <c r="D40" s="201">
        <f t="shared" si="10"/>
        <v>45223</v>
      </c>
      <c r="E40" s="52" t="s">
        <v>22</v>
      </c>
      <c r="F40" s="146">
        <v>9</v>
      </c>
      <c r="G40" s="183">
        <v>3456</v>
      </c>
      <c r="H40" s="184">
        <f t="shared" si="5"/>
        <v>17.534722508656106</v>
      </c>
      <c r="I40" s="184">
        <f t="shared" si="1"/>
        <v>12.581896396484561</v>
      </c>
      <c r="J40" s="185">
        <f t="shared" si="2"/>
        <v>43483.033946250645</v>
      </c>
      <c r="K40" s="192">
        <f t="shared" si="11"/>
        <v>60600.000989915505</v>
      </c>
      <c r="L40" s="191">
        <f t="shared" si="12"/>
        <v>-17116.967043664859</v>
      </c>
      <c r="M40" s="188">
        <f t="shared" si="7"/>
        <v>-1404.4475519233201</v>
      </c>
      <c r="N40" s="189">
        <f t="shared" si="8"/>
        <v>-18521.41459558818</v>
      </c>
      <c r="O40" s="188">
        <v>0</v>
      </c>
      <c r="P40" s="188">
        <v>0</v>
      </c>
      <c r="Q40" s="188">
        <v>0</v>
      </c>
      <c r="R40" s="189">
        <f t="shared" si="9"/>
        <v>-18521.41459558818</v>
      </c>
    </row>
    <row r="41" spans="1:18" x14ac:dyDescent="0.25">
      <c r="A41" s="110">
        <v>10</v>
      </c>
      <c r="B41" s="181">
        <f t="shared" si="4"/>
        <v>45200</v>
      </c>
      <c r="C41" s="201">
        <f t="shared" si="10"/>
        <v>45233</v>
      </c>
      <c r="D41" s="201">
        <f t="shared" si="10"/>
        <v>45254</v>
      </c>
      <c r="E41" s="52" t="s">
        <v>22</v>
      </c>
      <c r="F41" s="146">
        <v>9</v>
      </c>
      <c r="G41" s="183">
        <v>2810</v>
      </c>
      <c r="H41" s="184">
        <f t="shared" si="5"/>
        <v>17.534722508656106</v>
      </c>
      <c r="I41" s="184">
        <f t="shared" si="1"/>
        <v>12.581896396484561</v>
      </c>
      <c r="J41" s="185">
        <f t="shared" si="2"/>
        <v>35355.128874121619</v>
      </c>
      <c r="K41" s="192">
        <f t="shared" si="11"/>
        <v>49272.57024932366</v>
      </c>
      <c r="L41" s="191">
        <f t="shared" si="12"/>
        <v>-13917.441375202041</v>
      </c>
      <c r="M41" s="188">
        <f t="shared" si="7"/>
        <v>-1141.9263949376532</v>
      </c>
      <c r="N41" s="189">
        <f t="shared" si="8"/>
        <v>-15059.367770139694</v>
      </c>
      <c r="O41" s="188">
        <v>0</v>
      </c>
      <c r="P41" s="188">
        <v>0</v>
      </c>
      <c r="Q41" s="188">
        <v>0</v>
      </c>
      <c r="R41" s="189">
        <f t="shared" si="9"/>
        <v>-15059.367770139694</v>
      </c>
    </row>
    <row r="42" spans="1:18" x14ac:dyDescent="0.25">
      <c r="A42" s="146">
        <v>11</v>
      </c>
      <c r="B42" s="181">
        <f t="shared" si="4"/>
        <v>45231</v>
      </c>
      <c r="C42" s="201">
        <f t="shared" si="10"/>
        <v>45266</v>
      </c>
      <c r="D42" s="201">
        <f t="shared" si="10"/>
        <v>45285</v>
      </c>
      <c r="E42" s="52" t="s">
        <v>22</v>
      </c>
      <c r="F42" s="146">
        <v>9</v>
      </c>
      <c r="G42" s="183">
        <v>2499</v>
      </c>
      <c r="H42" s="184">
        <f t="shared" si="5"/>
        <v>17.534722508656106</v>
      </c>
      <c r="I42" s="184">
        <f t="shared" si="1"/>
        <v>12.581896396484561</v>
      </c>
      <c r="J42" s="185">
        <f t="shared" si="2"/>
        <v>31442.159094814917</v>
      </c>
      <c r="K42" s="192">
        <f t="shared" si="11"/>
        <v>43819.271549131612</v>
      </c>
      <c r="L42" s="191">
        <f t="shared" si="12"/>
        <v>-12377.112454316695</v>
      </c>
      <c r="M42" s="188">
        <f t="shared" si="7"/>
        <v>-1015.5423704445535</v>
      </c>
      <c r="N42" s="189">
        <f t="shared" si="8"/>
        <v>-13392.654824761248</v>
      </c>
      <c r="O42" s="188">
        <v>0</v>
      </c>
      <c r="P42" s="188">
        <v>0</v>
      </c>
      <c r="Q42" s="188">
        <v>0</v>
      </c>
      <c r="R42" s="189">
        <f t="shared" si="9"/>
        <v>-13392.654824761248</v>
      </c>
    </row>
    <row r="43" spans="1:18" x14ac:dyDescent="0.25">
      <c r="A43" s="146">
        <v>12</v>
      </c>
      <c r="B43" s="181">
        <f t="shared" si="4"/>
        <v>45261</v>
      </c>
      <c r="C43" s="201">
        <f t="shared" si="10"/>
        <v>45294</v>
      </c>
      <c r="D43" s="201">
        <f t="shared" si="10"/>
        <v>45315</v>
      </c>
      <c r="E43" s="52" t="s">
        <v>22</v>
      </c>
      <c r="F43" s="146">
        <v>9</v>
      </c>
      <c r="G43" s="183">
        <v>2532</v>
      </c>
      <c r="H43" s="193">
        <f t="shared" si="5"/>
        <v>17.534722508656106</v>
      </c>
      <c r="I43" s="193">
        <f t="shared" si="1"/>
        <v>12.581896396484561</v>
      </c>
      <c r="J43" s="194">
        <f t="shared" si="2"/>
        <v>31857.361675898908</v>
      </c>
      <c r="K43" s="195">
        <f t="shared" si="11"/>
        <v>44397.917391917261</v>
      </c>
      <c r="L43" s="196">
        <f t="shared" si="12"/>
        <v>-12540.555716018353</v>
      </c>
      <c r="M43" s="188">
        <f t="shared" si="7"/>
        <v>-1028.9528939438212</v>
      </c>
      <c r="N43" s="189">
        <f t="shared" si="8"/>
        <v>-13569.508609962173</v>
      </c>
      <c r="O43" s="188">
        <v>0</v>
      </c>
      <c r="P43" s="188">
        <v>0</v>
      </c>
      <c r="Q43" s="188">
        <v>0</v>
      </c>
      <c r="R43" s="189">
        <f t="shared" si="9"/>
        <v>-13569.508609962173</v>
      </c>
    </row>
    <row r="44" spans="1:18" x14ac:dyDescent="0.25">
      <c r="A44" s="110">
        <v>1</v>
      </c>
      <c r="B44" s="197">
        <f t="shared" ref="B44:B55" si="13">DATE($R$1,A44,1)</f>
        <v>44927</v>
      </c>
      <c r="C44" s="198">
        <f t="shared" ref="C44:D55" si="14">+C32</f>
        <v>44960</v>
      </c>
      <c r="D44" s="198">
        <f t="shared" si="14"/>
        <v>44981</v>
      </c>
      <c r="E44" s="199" t="s">
        <v>80</v>
      </c>
      <c r="F44" s="200">
        <v>9</v>
      </c>
      <c r="G44" s="183">
        <v>137</v>
      </c>
      <c r="H44" s="184">
        <f t="shared" si="5"/>
        <v>17.534722508656106</v>
      </c>
      <c r="I44" s="184">
        <f t="shared" si="1"/>
        <v>12.581896396484561</v>
      </c>
      <c r="J44" s="188">
        <f t="shared" ref="J44:J55" si="15">+$G44*I44</f>
        <v>1723.7198063183848</v>
      </c>
      <c r="K44" s="192">
        <f t="shared" ref="K44:K55" si="16">+$G44*H44</f>
        <v>2402.2569836858866</v>
      </c>
      <c r="L44" s="191">
        <f t="shared" ref="L44:L55" si="17">+J44-K44</f>
        <v>-678.53717736750173</v>
      </c>
      <c r="M44" s="188">
        <f t="shared" si="7"/>
        <v>-55.673991496960312</v>
      </c>
      <c r="N44" s="189">
        <f t="shared" si="8"/>
        <v>-734.21116886446202</v>
      </c>
      <c r="O44" s="188">
        <v>0</v>
      </c>
      <c r="P44" s="188">
        <v>0</v>
      </c>
      <c r="Q44" s="188">
        <v>0</v>
      </c>
      <c r="R44" s="189">
        <f t="shared" si="9"/>
        <v>-734.21116886446202</v>
      </c>
    </row>
    <row r="45" spans="1:18" x14ac:dyDescent="0.25">
      <c r="A45" s="146">
        <v>2</v>
      </c>
      <c r="B45" s="181">
        <f t="shared" si="13"/>
        <v>44958</v>
      </c>
      <c r="C45" s="201">
        <f t="shared" si="14"/>
        <v>44988</v>
      </c>
      <c r="D45" s="201">
        <f t="shared" si="14"/>
        <v>45009</v>
      </c>
      <c r="E45" s="190" t="s">
        <v>80</v>
      </c>
      <c r="F45" s="146">
        <v>9</v>
      </c>
      <c r="G45" s="183">
        <v>132</v>
      </c>
      <c r="H45" s="184">
        <f t="shared" si="5"/>
        <v>17.534722508656106</v>
      </c>
      <c r="I45" s="184">
        <f t="shared" si="1"/>
        <v>12.581896396484561</v>
      </c>
      <c r="J45" s="188">
        <f t="shared" si="15"/>
        <v>1660.8103243359622</v>
      </c>
      <c r="K45" s="192">
        <f t="shared" si="16"/>
        <v>2314.5833711426062</v>
      </c>
      <c r="L45" s="191">
        <f t="shared" si="17"/>
        <v>-653.77304680664406</v>
      </c>
      <c r="M45" s="188">
        <f t="shared" si="7"/>
        <v>-53.642093997071257</v>
      </c>
      <c r="N45" s="189">
        <f t="shared" si="8"/>
        <v>-707.4151408037153</v>
      </c>
      <c r="O45" s="188">
        <v>0</v>
      </c>
      <c r="P45" s="188">
        <v>0</v>
      </c>
      <c r="Q45" s="188">
        <v>0</v>
      </c>
      <c r="R45" s="189">
        <f t="shared" si="9"/>
        <v>-707.4151408037153</v>
      </c>
    </row>
    <row r="46" spans="1:18" x14ac:dyDescent="0.25">
      <c r="A46" s="146">
        <v>3</v>
      </c>
      <c r="B46" s="181">
        <f t="shared" si="13"/>
        <v>44986</v>
      </c>
      <c r="C46" s="201">
        <f t="shared" si="14"/>
        <v>45021</v>
      </c>
      <c r="D46" s="201">
        <f t="shared" si="14"/>
        <v>45040</v>
      </c>
      <c r="E46" s="190" t="s">
        <v>80</v>
      </c>
      <c r="F46" s="146">
        <v>9</v>
      </c>
      <c r="G46" s="183">
        <v>148</v>
      </c>
      <c r="H46" s="184">
        <f t="shared" si="5"/>
        <v>17.534722508656106</v>
      </c>
      <c r="I46" s="184">
        <f t="shared" si="1"/>
        <v>12.581896396484561</v>
      </c>
      <c r="J46" s="188">
        <f t="shared" si="15"/>
        <v>1862.120666679715</v>
      </c>
      <c r="K46" s="192">
        <f t="shared" si="16"/>
        <v>2595.1389312811039</v>
      </c>
      <c r="L46" s="191">
        <f t="shared" si="17"/>
        <v>-733.01826460138886</v>
      </c>
      <c r="M46" s="188">
        <f t="shared" si="7"/>
        <v>-60.144165996716247</v>
      </c>
      <c r="N46" s="189">
        <f t="shared" si="8"/>
        <v>-793.16243059810506</v>
      </c>
      <c r="O46" s="188">
        <v>0</v>
      </c>
      <c r="P46" s="188">
        <v>0</v>
      </c>
      <c r="Q46" s="188">
        <v>0</v>
      </c>
      <c r="R46" s="189">
        <f t="shared" si="9"/>
        <v>-793.16243059810506</v>
      </c>
    </row>
    <row r="47" spans="1:18" x14ac:dyDescent="0.25">
      <c r="A47" s="110">
        <v>4</v>
      </c>
      <c r="B47" s="181">
        <f t="shared" si="13"/>
        <v>45017</v>
      </c>
      <c r="C47" s="201">
        <f t="shared" si="14"/>
        <v>45049</v>
      </c>
      <c r="D47" s="201">
        <f t="shared" si="14"/>
        <v>45070</v>
      </c>
      <c r="E47" s="190" t="s">
        <v>80</v>
      </c>
      <c r="F47" s="146">
        <v>9</v>
      </c>
      <c r="G47" s="183">
        <v>92</v>
      </c>
      <c r="H47" s="184">
        <f t="shared" si="5"/>
        <v>17.534722508656106</v>
      </c>
      <c r="I47" s="184">
        <f t="shared" si="1"/>
        <v>12.581896396484561</v>
      </c>
      <c r="J47" s="188">
        <f t="shared" si="15"/>
        <v>1157.5344684765796</v>
      </c>
      <c r="K47" s="192">
        <f t="shared" si="16"/>
        <v>1613.1944707963617</v>
      </c>
      <c r="L47" s="191">
        <f t="shared" si="17"/>
        <v>-455.66000231978205</v>
      </c>
      <c r="M47" s="188">
        <f t="shared" si="7"/>
        <v>-37.38691399795875</v>
      </c>
      <c r="N47" s="189">
        <f t="shared" si="8"/>
        <v>-493.04691631774079</v>
      </c>
      <c r="O47" s="188">
        <v>0</v>
      </c>
      <c r="P47" s="188">
        <v>0</v>
      </c>
      <c r="Q47" s="188">
        <v>0</v>
      </c>
      <c r="R47" s="189">
        <f t="shared" si="9"/>
        <v>-493.04691631774079</v>
      </c>
    </row>
    <row r="48" spans="1:18" x14ac:dyDescent="0.25">
      <c r="A48" s="146">
        <v>5</v>
      </c>
      <c r="B48" s="181">
        <f t="shared" si="13"/>
        <v>45047</v>
      </c>
      <c r="C48" s="201">
        <f t="shared" si="14"/>
        <v>45082</v>
      </c>
      <c r="D48" s="201">
        <f t="shared" si="14"/>
        <v>45103</v>
      </c>
      <c r="E48" s="190" t="s">
        <v>80</v>
      </c>
      <c r="F48" s="146">
        <v>9</v>
      </c>
      <c r="G48" s="183">
        <v>104</v>
      </c>
      <c r="H48" s="184">
        <f t="shared" si="5"/>
        <v>17.534722508656106</v>
      </c>
      <c r="I48" s="184">
        <f t="shared" si="1"/>
        <v>12.581896396484561</v>
      </c>
      <c r="J48" s="188">
        <f t="shared" si="15"/>
        <v>1308.5172252343943</v>
      </c>
      <c r="K48" s="192">
        <f t="shared" si="16"/>
        <v>1823.6111409002351</v>
      </c>
      <c r="L48" s="191">
        <f t="shared" si="17"/>
        <v>-515.09391566584077</v>
      </c>
      <c r="M48" s="188">
        <f t="shared" si="7"/>
        <v>-42.263467997692494</v>
      </c>
      <c r="N48" s="189">
        <f t="shared" si="8"/>
        <v>-557.35738366353326</v>
      </c>
      <c r="O48" s="188">
        <v>0</v>
      </c>
      <c r="P48" s="188">
        <v>0</v>
      </c>
      <c r="Q48" s="188">
        <v>0</v>
      </c>
      <c r="R48" s="189">
        <f t="shared" si="9"/>
        <v>-557.35738366353326</v>
      </c>
    </row>
    <row r="49" spans="1:18" x14ac:dyDescent="0.25">
      <c r="A49" s="146">
        <v>6</v>
      </c>
      <c r="B49" s="181">
        <f t="shared" si="13"/>
        <v>45078</v>
      </c>
      <c r="C49" s="201">
        <f t="shared" si="14"/>
        <v>45112</v>
      </c>
      <c r="D49" s="201">
        <f t="shared" si="14"/>
        <v>45131</v>
      </c>
      <c r="E49" s="190" t="s">
        <v>80</v>
      </c>
      <c r="F49" s="146">
        <v>9</v>
      </c>
      <c r="G49" s="183">
        <v>156</v>
      </c>
      <c r="H49" s="184">
        <f t="shared" si="5"/>
        <v>17.534722508656106</v>
      </c>
      <c r="I49" s="184">
        <f t="shared" si="1"/>
        <v>12.581896396484561</v>
      </c>
      <c r="J49" s="188">
        <f t="shared" si="15"/>
        <v>1962.7758378515916</v>
      </c>
      <c r="K49" s="192">
        <f t="shared" si="16"/>
        <v>2735.4167113503527</v>
      </c>
      <c r="L49" s="191">
        <f t="shared" si="17"/>
        <v>-772.64087349876104</v>
      </c>
      <c r="M49" s="188">
        <f t="shared" si="7"/>
        <v>-63.395201996538752</v>
      </c>
      <c r="N49" s="189">
        <f t="shared" si="8"/>
        <v>-836.03607549529977</v>
      </c>
      <c r="O49" s="188">
        <v>0</v>
      </c>
      <c r="P49" s="188">
        <v>0</v>
      </c>
      <c r="Q49" s="188">
        <v>0</v>
      </c>
      <c r="R49" s="189">
        <f t="shared" si="9"/>
        <v>-836.03607549529977</v>
      </c>
    </row>
    <row r="50" spans="1:18" x14ac:dyDescent="0.25">
      <c r="A50" s="110">
        <v>7</v>
      </c>
      <c r="B50" s="181">
        <f t="shared" si="13"/>
        <v>45108</v>
      </c>
      <c r="C50" s="201">
        <f t="shared" si="14"/>
        <v>45141</v>
      </c>
      <c r="D50" s="201">
        <f t="shared" si="14"/>
        <v>45162</v>
      </c>
      <c r="E50" s="190" t="s">
        <v>80</v>
      </c>
      <c r="F50" s="146">
        <v>9</v>
      </c>
      <c r="G50" s="183">
        <v>155</v>
      </c>
      <c r="H50" s="184">
        <f t="shared" si="5"/>
        <v>17.534722508656106</v>
      </c>
      <c r="I50" s="184">
        <f t="shared" si="1"/>
        <v>12.581896396484561</v>
      </c>
      <c r="J50" s="188">
        <f t="shared" si="15"/>
        <v>1950.1939414551071</v>
      </c>
      <c r="K50" s="192">
        <f t="shared" si="16"/>
        <v>2717.8819888416965</v>
      </c>
      <c r="L50" s="191">
        <f t="shared" si="17"/>
        <v>-767.68804738658946</v>
      </c>
      <c r="M50" s="188">
        <f t="shared" si="7"/>
        <v>-62.988822496560935</v>
      </c>
      <c r="N50" s="189">
        <f t="shared" si="8"/>
        <v>-830.6768698831504</v>
      </c>
      <c r="O50" s="188">
        <v>0</v>
      </c>
      <c r="P50" s="188">
        <v>0</v>
      </c>
      <c r="Q50" s="188">
        <v>0</v>
      </c>
      <c r="R50" s="189">
        <f t="shared" si="9"/>
        <v>-830.6768698831504</v>
      </c>
    </row>
    <row r="51" spans="1:18" x14ac:dyDescent="0.25">
      <c r="A51" s="146">
        <v>8</v>
      </c>
      <c r="B51" s="181">
        <f t="shared" si="13"/>
        <v>45139</v>
      </c>
      <c r="C51" s="201">
        <f t="shared" si="14"/>
        <v>45174</v>
      </c>
      <c r="D51" s="201">
        <f t="shared" si="14"/>
        <v>45194</v>
      </c>
      <c r="E51" s="190" t="s">
        <v>80</v>
      </c>
      <c r="F51" s="146">
        <v>9</v>
      </c>
      <c r="G51" s="183">
        <v>159</v>
      </c>
      <c r="H51" s="184">
        <f t="shared" si="5"/>
        <v>17.534722508656106</v>
      </c>
      <c r="I51" s="184">
        <f t="shared" si="1"/>
        <v>12.581896396484561</v>
      </c>
      <c r="J51" s="188">
        <f t="shared" si="15"/>
        <v>2000.5215270410451</v>
      </c>
      <c r="K51" s="192">
        <f t="shared" si="16"/>
        <v>2788.0208788763207</v>
      </c>
      <c r="L51" s="191">
        <f t="shared" si="17"/>
        <v>-787.49935183527555</v>
      </c>
      <c r="M51" s="188">
        <f t="shared" si="7"/>
        <v>-64.614340496472181</v>
      </c>
      <c r="N51" s="189">
        <f t="shared" si="8"/>
        <v>-852.11369233174776</v>
      </c>
      <c r="O51" s="188">
        <v>0</v>
      </c>
      <c r="P51" s="188">
        <v>0</v>
      </c>
      <c r="Q51" s="188">
        <v>0</v>
      </c>
      <c r="R51" s="189">
        <f t="shared" si="9"/>
        <v>-852.11369233174776</v>
      </c>
    </row>
    <row r="52" spans="1:18" x14ac:dyDescent="0.25">
      <c r="A52" s="146">
        <v>9</v>
      </c>
      <c r="B52" s="181">
        <f t="shared" si="13"/>
        <v>45170</v>
      </c>
      <c r="C52" s="201">
        <f t="shared" si="14"/>
        <v>45203</v>
      </c>
      <c r="D52" s="201">
        <f t="shared" si="14"/>
        <v>45223</v>
      </c>
      <c r="E52" s="190" t="s">
        <v>80</v>
      </c>
      <c r="F52" s="146">
        <v>9</v>
      </c>
      <c r="G52" s="183">
        <v>144</v>
      </c>
      <c r="H52" s="184">
        <f t="shared" si="5"/>
        <v>17.534722508656106</v>
      </c>
      <c r="I52" s="184">
        <f t="shared" si="1"/>
        <v>12.581896396484561</v>
      </c>
      <c r="J52" s="188">
        <f t="shared" si="15"/>
        <v>1811.7930810937769</v>
      </c>
      <c r="K52" s="192">
        <f t="shared" si="16"/>
        <v>2525.0000412464792</v>
      </c>
      <c r="L52" s="191">
        <f t="shared" si="17"/>
        <v>-713.20696015270232</v>
      </c>
      <c r="M52" s="188">
        <f t="shared" si="7"/>
        <v>-58.518647996805001</v>
      </c>
      <c r="N52" s="189">
        <f t="shared" si="8"/>
        <v>-771.72560814950737</v>
      </c>
      <c r="O52" s="188">
        <v>0</v>
      </c>
      <c r="P52" s="188">
        <v>0</v>
      </c>
      <c r="Q52" s="188">
        <v>0</v>
      </c>
      <c r="R52" s="189">
        <f t="shared" si="9"/>
        <v>-771.72560814950737</v>
      </c>
    </row>
    <row r="53" spans="1:18" x14ac:dyDescent="0.25">
      <c r="A53" s="110">
        <v>10</v>
      </c>
      <c r="B53" s="181">
        <f t="shared" si="13"/>
        <v>45200</v>
      </c>
      <c r="C53" s="201">
        <f t="shared" si="14"/>
        <v>45233</v>
      </c>
      <c r="D53" s="201">
        <f t="shared" si="14"/>
        <v>45254</v>
      </c>
      <c r="E53" s="190" t="s">
        <v>80</v>
      </c>
      <c r="F53" s="146">
        <v>9</v>
      </c>
      <c r="G53" s="183">
        <v>117</v>
      </c>
      <c r="H53" s="184">
        <f t="shared" si="5"/>
        <v>17.534722508656106</v>
      </c>
      <c r="I53" s="184">
        <f t="shared" si="1"/>
        <v>12.581896396484561</v>
      </c>
      <c r="J53" s="188">
        <f t="shared" si="15"/>
        <v>1472.0818783886937</v>
      </c>
      <c r="K53" s="192">
        <f t="shared" si="16"/>
        <v>2051.5625335127643</v>
      </c>
      <c r="L53" s="191">
        <f t="shared" si="17"/>
        <v>-579.48065512407061</v>
      </c>
      <c r="M53" s="188">
        <f t="shared" si="7"/>
        <v>-47.546401497404069</v>
      </c>
      <c r="N53" s="189">
        <f t="shared" si="8"/>
        <v>-627.02705662147469</v>
      </c>
      <c r="O53" s="188">
        <v>0</v>
      </c>
      <c r="P53" s="188">
        <v>0</v>
      </c>
      <c r="Q53" s="188">
        <v>0</v>
      </c>
      <c r="R53" s="189">
        <f t="shared" si="9"/>
        <v>-627.02705662147469</v>
      </c>
    </row>
    <row r="54" spans="1:18" x14ac:dyDescent="0.25">
      <c r="A54" s="146">
        <v>11</v>
      </c>
      <c r="B54" s="181">
        <f t="shared" si="13"/>
        <v>45231</v>
      </c>
      <c r="C54" s="201">
        <f t="shared" si="14"/>
        <v>45266</v>
      </c>
      <c r="D54" s="201">
        <f t="shared" si="14"/>
        <v>45285</v>
      </c>
      <c r="E54" s="190" t="s">
        <v>80</v>
      </c>
      <c r="F54" s="146">
        <v>9</v>
      </c>
      <c r="G54" s="183">
        <v>134</v>
      </c>
      <c r="H54" s="184">
        <f t="shared" si="5"/>
        <v>17.534722508656106</v>
      </c>
      <c r="I54" s="184">
        <f t="shared" si="1"/>
        <v>12.581896396484561</v>
      </c>
      <c r="J54" s="188">
        <f t="shared" si="15"/>
        <v>1685.9741171289311</v>
      </c>
      <c r="K54" s="192">
        <f t="shared" si="16"/>
        <v>2349.6528161599181</v>
      </c>
      <c r="L54" s="191">
        <f t="shared" si="17"/>
        <v>-663.67869903098699</v>
      </c>
      <c r="M54" s="188">
        <f t="shared" si="7"/>
        <v>-54.454852997026876</v>
      </c>
      <c r="N54" s="189">
        <f t="shared" si="8"/>
        <v>-718.13355202801381</v>
      </c>
      <c r="O54" s="188">
        <v>0</v>
      </c>
      <c r="P54" s="188">
        <v>0</v>
      </c>
      <c r="Q54" s="188">
        <v>0</v>
      </c>
      <c r="R54" s="189">
        <f t="shared" si="9"/>
        <v>-718.13355202801381</v>
      </c>
    </row>
    <row r="55" spans="1:18" x14ac:dyDescent="0.25">
      <c r="A55" s="146">
        <v>12</v>
      </c>
      <c r="B55" s="181">
        <f t="shared" si="13"/>
        <v>45261</v>
      </c>
      <c r="C55" s="201">
        <f t="shared" si="14"/>
        <v>45294</v>
      </c>
      <c r="D55" s="201">
        <f t="shared" si="14"/>
        <v>45315</v>
      </c>
      <c r="E55" s="190" t="s">
        <v>80</v>
      </c>
      <c r="F55" s="146">
        <v>9</v>
      </c>
      <c r="G55" s="183">
        <v>145</v>
      </c>
      <c r="H55" s="193">
        <f t="shared" si="5"/>
        <v>17.534722508656106</v>
      </c>
      <c r="I55" s="193">
        <f t="shared" si="1"/>
        <v>12.581896396484561</v>
      </c>
      <c r="J55" s="194">
        <f t="shared" si="15"/>
        <v>1824.3749774902615</v>
      </c>
      <c r="K55" s="195">
        <f t="shared" si="16"/>
        <v>2542.5347637551354</v>
      </c>
      <c r="L55" s="196">
        <f t="shared" si="17"/>
        <v>-718.1597862648739</v>
      </c>
      <c r="M55" s="188">
        <f t="shared" si="7"/>
        <v>-58.925027496782818</v>
      </c>
      <c r="N55" s="189">
        <f t="shared" si="8"/>
        <v>-777.08481376165673</v>
      </c>
      <c r="O55" s="188">
        <v>0</v>
      </c>
      <c r="P55" s="188">
        <v>0</v>
      </c>
      <c r="Q55" s="188">
        <v>0</v>
      </c>
      <c r="R55" s="189">
        <f t="shared" si="9"/>
        <v>-777.08481376165673</v>
      </c>
    </row>
    <row r="56" spans="1:18" s="202" customFormat="1" x14ac:dyDescent="0.25">
      <c r="A56" s="110">
        <v>1</v>
      </c>
      <c r="B56" s="197">
        <f t="shared" si="4"/>
        <v>44927</v>
      </c>
      <c r="C56" s="198">
        <f t="shared" ref="C56:D67" si="18">+C32</f>
        <v>44960</v>
      </c>
      <c r="D56" s="198">
        <f t="shared" si="18"/>
        <v>44981</v>
      </c>
      <c r="E56" s="199" t="s">
        <v>14</v>
      </c>
      <c r="F56" s="200">
        <v>9</v>
      </c>
      <c r="G56" s="183">
        <v>828</v>
      </c>
      <c r="H56" s="184">
        <f t="shared" si="5"/>
        <v>17.534722508656106</v>
      </c>
      <c r="I56" s="184">
        <f t="shared" si="1"/>
        <v>12.581896396484561</v>
      </c>
      <c r="J56" s="185">
        <f t="shared" si="2"/>
        <v>10417.810216289217</v>
      </c>
      <c r="K56" s="186">
        <f t="shared" si="11"/>
        <v>14518.750237167256</v>
      </c>
      <c r="L56" s="187">
        <f t="shared" si="12"/>
        <v>-4100.9400208780389</v>
      </c>
      <c r="M56" s="188">
        <f t="shared" si="7"/>
        <v>-336.4822259816288</v>
      </c>
      <c r="N56" s="189">
        <f t="shared" si="8"/>
        <v>-4437.4222468596681</v>
      </c>
      <c r="O56" s="188">
        <v>0</v>
      </c>
      <c r="P56" s="188">
        <v>0</v>
      </c>
      <c r="Q56" s="188">
        <v>0</v>
      </c>
      <c r="R56" s="189">
        <f t="shared" si="9"/>
        <v>-4437.4222468596681</v>
      </c>
    </row>
    <row r="57" spans="1:18" x14ac:dyDescent="0.25">
      <c r="A57" s="146">
        <v>2</v>
      </c>
      <c r="B57" s="181">
        <f t="shared" si="4"/>
        <v>44958</v>
      </c>
      <c r="C57" s="201">
        <f t="shared" si="18"/>
        <v>44988</v>
      </c>
      <c r="D57" s="201">
        <f t="shared" si="18"/>
        <v>45009</v>
      </c>
      <c r="E57" s="190" t="s">
        <v>14</v>
      </c>
      <c r="F57" s="146">
        <v>9</v>
      </c>
      <c r="G57" s="183">
        <v>786</v>
      </c>
      <c r="H57" s="184">
        <f t="shared" si="5"/>
        <v>17.534722508656106</v>
      </c>
      <c r="I57" s="184">
        <f t="shared" si="1"/>
        <v>12.581896396484561</v>
      </c>
      <c r="J57" s="185">
        <f t="shared" si="2"/>
        <v>9889.3705676368645</v>
      </c>
      <c r="K57" s="186">
        <f t="shared" si="11"/>
        <v>13782.291891803699</v>
      </c>
      <c r="L57" s="187">
        <f t="shared" si="12"/>
        <v>-3892.9213241668349</v>
      </c>
      <c r="M57" s="188">
        <f t="shared" si="7"/>
        <v>-319.41428698256061</v>
      </c>
      <c r="N57" s="189">
        <f t="shared" si="8"/>
        <v>-4212.3356111493958</v>
      </c>
      <c r="O57" s="188">
        <v>0</v>
      </c>
      <c r="P57" s="188">
        <v>0</v>
      </c>
      <c r="Q57" s="188">
        <v>0</v>
      </c>
      <c r="R57" s="189">
        <f t="shared" si="9"/>
        <v>-4212.3356111493958</v>
      </c>
    </row>
    <row r="58" spans="1:18" x14ac:dyDescent="0.25">
      <c r="A58" s="146">
        <v>3</v>
      </c>
      <c r="B58" s="181">
        <f t="shared" si="4"/>
        <v>44986</v>
      </c>
      <c r="C58" s="201">
        <f t="shared" si="18"/>
        <v>45021</v>
      </c>
      <c r="D58" s="201">
        <f t="shared" si="18"/>
        <v>45040</v>
      </c>
      <c r="E58" s="190" t="s">
        <v>14</v>
      </c>
      <c r="F58" s="146">
        <v>9</v>
      </c>
      <c r="G58" s="183">
        <v>702</v>
      </c>
      <c r="H58" s="184">
        <f t="shared" si="5"/>
        <v>17.534722508656106</v>
      </c>
      <c r="I58" s="184">
        <f t="shared" si="1"/>
        <v>12.581896396484561</v>
      </c>
      <c r="J58" s="185">
        <f t="shared" si="2"/>
        <v>8832.4912703321625</v>
      </c>
      <c r="K58" s="186">
        <f t="shared" si="11"/>
        <v>12309.375201076586</v>
      </c>
      <c r="L58" s="187">
        <f>+J58-K58</f>
        <v>-3476.8839307444232</v>
      </c>
      <c r="M58" s="188">
        <f t="shared" si="7"/>
        <v>-285.2784089844244</v>
      </c>
      <c r="N58" s="189">
        <f t="shared" si="8"/>
        <v>-3762.1623397288477</v>
      </c>
      <c r="O58" s="188">
        <v>0</v>
      </c>
      <c r="P58" s="188">
        <v>0</v>
      </c>
      <c r="Q58" s="188">
        <v>0</v>
      </c>
      <c r="R58" s="189">
        <f t="shared" si="9"/>
        <v>-3762.1623397288477</v>
      </c>
    </row>
    <row r="59" spans="1:18" x14ac:dyDescent="0.25">
      <c r="A59" s="110">
        <v>4</v>
      </c>
      <c r="B59" s="181">
        <f t="shared" si="4"/>
        <v>45017</v>
      </c>
      <c r="C59" s="201">
        <f t="shared" si="18"/>
        <v>45049</v>
      </c>
      <c r="D59" s="201">
        <f t="shared" si="18"/>
        <v>45070</v>
      </c>
      <c r="E59" s="190" t="s">
        <v>14</v>
      </c>
      <c r="F59" s="146">
        <v>9</v>
      </c>
      <c r="G59" s="183">
        <v>519</v>
      </c>
      <c r="H59" s="184">
        <f t="shared" si="5"/>
        <v>17.534722508656106</v>
      </c>
      <c r="I59" s="184">
        <f t="shared" si="1"/>
        <v>12.581896396484561</v>
      </c>
      <c r="J59" s="185">
        <f t="shared" si="2"/>
        <v>6530.0042297754871</v>
      </c>
      <c r="K59" s="186">
        <f t="shared" si="11"/>
        <v>9100.5209819925185</v>
      </c>
      <c r="L59" s="187">
        <f t="shared" ref="L59:L81" si="19">+J59-K59</f>
        <v>-2570.5167522170314</v>
      </c>
      <c r="M59" s="188">
        <f t="shared" si="7"/>
        <v>-210.91096048848468</v>
      </c>
      <c r="N59" s="189">
        <f t="shared" si="8"/>
        <v>-2781.4277127055161</v>
      </c>
      <c r="O59" s="188">
        <v>0</v>
      </c>
      <c r="P59" s="188">
        <v>0</v>
      </c>
      <c r="Q59" s="188">
        <v>0</v>
      </c>
      <c r="R59" s="189">
        <f t="shared" si="9"/>
        <v>-2781.4277127055161</v>
      </c>
    </row>
    <row r="60" spans="1:18" x14ac:dyDescent="0.25">
      <c r="A60" s="146">
        <v>5</v>
      </c>
      <c r="B60" s="181">
        <f t="shared" si="4"/>
        <v>45047</v>
      </c>
      <c r="C60" s="201">
        <f t="shared" si="18"/>
        <v>45082</v>
      </c>
      <c r="D60" s="201">
        <f t="shared" si="18"/>
        <v>45103</v>
      </c>
      <c r="E60" s="52" t="s">
        <v>14</v>
      </c>
      <c r="F60" s="146">
        <v>9</v>
      </c>
      <c r="G60" s="183">
        <v>720</v>
      </c>
      <c r="H60" s="184">
        <f t="shared" si="5"/>
        <v>17.534722508656106</v>
      </c>
      <c r="I60" s="184">
        <f t="shared" si="1"/>
        <v>12.581896396484561</v>
      </c>
      <c r="J60" s="185">
        <f t="shared" si="2"/>
        <v>9058.9654054688835</v>
      </c>
      <c r="K60" s="186">
        <f t="shared" si="11"/>
        <v>12625.000206232397</v>
      </c>
      <c r="L60" s="187">
        <f t="shared" si="19"/>
        <v>-3566.034800763513</v>
      </c>
      <c r="M60" s="188">
        <f t="shared" si="7"/>
        <v>-292.59323998402505</v>
      </c>
      <c r="N60" s="189">
        <f t="shared" si="8"/>
        <v>-3858.6280407475379</v>
      </c>
      <c r="O60" s="188">
        <v>0</v>
      </c>
      <c r="P60" s="188">
        <v>0</v>
      </c>
      <c r="Q60" s="188">
        <v>0</v>
      </c>
      <c r="R60" s="189">
        <f t="shared" si="9"/>
        <v>-3858.6280407475379</v>
      </c>
    </row>
    <row r="61" spans="1:18" x14ac:dyDescent="0.25">
      <c r="A61" s="146">
        <v>6</v>
      </c>
      <c r="B61" s="181">
        <f t="shared" si="4"/>
        <v>45078</v>
      </c>
      <c r="C61" s="201">
        <f t="shared" si="18"/>
        <v>45112</v>
      </c>
      <c r="D61" s="201">
        <f t="shared" si="18"/>
        <v>45131</v>
      </c>
      <c r="E61" s="52" t="s">
        <v>14</v>
      </c>
      <c r="F61" s="146">
        <v>9</v>
      </c>
      <c r="G61" s="183">
        <v>975</v>
      </c>
      <c r="H61" s="184">
        <f t="shared" si="5"/>
        <v>17.534722508656106</v>
      </c>
      <c r="I61" s="184">
        <f t="shared" si="1"/>
        <v>12.581896396484561</v>
      </c>
      <c r="J61" s="185">
        <f t="shared" si="2"/>
        <v>12267.348986572448</v>
      </c>
      <c r="K61" s="186">
        <f t="shared" si="11"/>
        <v>17096.354445939702</v>
      </c>
      <c r="L61" s="191">
        <f t="shared" si="19"/>
        <v>-4829.0054593672539</v>
      </c>
      <c r="M61" s="188">
        <f t="shared" si="7"/>
        <v>-396.22001247836721</v>
      </c>
      <c r="N61" s="189">
        <f t="shared" si="8"/>
        <v>-5225.2254718456215</v>
      </c>
      <c r="O61" s="188">
        <v>0</v>
      </c>
      <c r="P61" s="188">
        <v>0</v>
      </c>
      <c r="Q61" s="188">
        <v>0</v>
      </c>
      <c r="R61" s="189">
        <f t="shared" si="9"/>
        <v>-5225.2254718456215</v>
      </c>
    </row>
    <row r="62" spans="1:18" x14ac:dyDescent="0.25">
      <c r="A62" s="110">
        <v>7</v>
      </c>
      <c r="B62" s="181">
        <f t="shared" si="4"/>
        <v>45108</v>
      </c>
      <c r="C62" s="201">
        <f t="shared" si="18"/>
        <v>45141</v>
      </c>
      <c r="D62" s="201">
        <f t="shared" si="18"/>
        <v>45162</v>
      </c>
      <c r="E62" s="52" t="s">
        <v>14</v>
      </c>
      <c r="F62" s="146">
        <v>9</v>
      </c>
      <c r="G62" s="183">
        <v>924</v>
      </c>
      <c r="H62" s="184">
        <f t="shared" si="5"/>
        <v>17.534722508656106</v>
      </c>
      <c r="I62" s="184">
        <f t="shared" si="1"/>
        <v>12.581896396484561</v>
      </c>
      <c r="J62" s="185">
        <f t="shared" si="2"/>
        <v>11625.672270351735</v>
      </c>
      <c r="K62" s="192">
        <f t="shared" si="11"/>
        <v>16202.083597998242</v>
      </c>
      <c r="L62" s="191">
        <f t="shared" si="19"/>
        <v>-4576.4113276465068</v>
      </c>
      <c r="M62" s="188">
        <f t="shared" si="7"/>
        <v>-375.49465797949875</v>
      </c>
      <c r="N62" s="189">
        <f t="shared" si="8"/>
        <v>-4951.9059856260055</v>
      </c>
      <c r="O62" s="188">
        <v>0</v>
      </c>
      <c r="P62" s="188">
        <v>0</v>
      </c>
      <c r="Q62" s="188">
        <v>0</v>
      </c>
      <c r="R62" s="189">
        <f t="shared" si="9"/>
        <v>-4951.9059856260055</v>
      </c>
    </row>
    <row r="63" spans="1:18" x14ac:dyDescent="0.25">
      <c r="A63" s="146">
        <v>8</v>
      </c>
      <c r="B63" s="181">
        <f t="shared" si="4"/>
        <v>45139</v>
      </c>
      <c r="C63" s="201">
        <f t="shared" si="18"/>
        <v>45174</v>
      </c>
      <c r="D63" s="201">
        <f t="shared" si="18"/>
        <v>45194</v>
      </c>
      <c r="E63" s="52" t="s">
        <v>14</v>
      </c>
      <c r="F63" s="146">
        <v>9</v>
      </c>
      <c r="G63" s="183">
        <v>1053</v>
      </c>
      <c r="H63" s="184">
        <f t="shared" si="5"/>
        <v>17.534722508656106</v>
      </c>
      <c r="I63" s="184">
        <f t="shared" si="1"/>
        <v>12.581896396484561</v>
      </c>
      <c r="J63" s="185">
        <f t="shared" si="2"/>
        <v>13248.736905498243</v>
      </c>
      <c r="K63" s="192">
        <f t="shared" si="11"/>
        <v>18464.06280161488</v>
      </c>
      <c r="L63" s="191">
        <f t="shared" si="19"/>
        <v>-5215.3258961166375</v>
      </c>
      <c r="M63" s="188">
        <f t="shared" si="7"/>
        <v>-427.91761347663663</v>
      </c>
      <c r="N63" s="189">
        <f t="shared" si="8"/>
        <v>-5643.2435095932742</v>
      </c>
      <c r="O63" s="188">
        <v>0</v>
      </c>
      <c r="P63" s="188">
        <v>0</v>
      </c>
      <c r="Q63" s="188">
        <v>0</v>
      </c>
      <c r="R63" s="189">
        <f t="shared" si="9"/>
        <v>-5643.2435095932742</v>
      </c>
    </row>
    <row r="64" spans="1:18" x14ac:dyDescent="0.25">
      <c r="A64" s="146">
        <v>9</v>
      </c>
      <c r="B64" s="181">
        <f t="shared" si="4"/>
        <v>45170</v>
      </c>
      <c r="C64" s="201">
        <f t="shared" si="18"/>
        <v>45203</v>
      </c>
      <c r="D64" s="201">
        <f t="shared" si="18"/>
        <v>45223</v>
      </c>
      <c r="E64" s="52" t="s">
        <v>14</v>
      </c>
      <c r="F64" s="146">
        <v>9</v>
      </c>
      <c r="G64" s="183">
        <v>905</v>
      </c>
      <c r="H64" s="184">
        <f t="shared" si="5"/>
        <v>17.534722508656106</v>
      </c>
      <c r="I64" s="184">
        <f t="shared" ref="I64:I107" si="20">$J$3</f>
        <v>12.581896396484561</v>
      </c>
      <c r="J64" s="185">
        <f t="shared" si="2"/>
        <v>11386.616238818528</v>
      </c>
      <c r="K64" s="192">
        <f t="shared" si="11"/>
        <v>15868.923870333776</v>
      </c>
      <c r="L64" s="191">
        <f t="shared" si="19"/>
        <v>-4482.3076315152484</v>
      </c>
      <c r="M64" s="188">
        <f t="shared" si="7"/>
        <v>-367.77344747992032</v>
      </c>
      <c r="N64" s="189">
        <f t="shared" si="8"/>
        <v>-4850.0810789951684</v>
      </c>
      <c r="O64" s="188">
        <v>0</v>
      </c>
      <c r="P64" s="188">
        <v>0</v>
      </c>
      <c r="Q64" s="188">
        <v>0</v>
      </c>
      <c r="R64" s="189">
        <f t="shared" si="9"/>
        <v>-4850.0810789951684</v>
      </c>
    </row>
    <row r="65" spans="1:18" x14ac:dyDescent="0.25">
      <c r="A65" s="110">
        <v>10</v>
      </c>
      <c r="B65" s="181">
        <f t="shared" si="4"/>
        <v>45200</v>
      </c>
      <c r="C65" s="201">
        <f t="shared" si="18"/>
        <v>45233</v>
      </c>
      <c r="D65" s="201">
        <f t="shared" si="18"/>
        <v>45254</v>
      </c>
      <c r="E65" s="52" t="s">
        <v>14</v>
      </c>
      <c r="F65" s="146">
        <v>9</v>
      </c>
      <c r="G65" s="183">
        <v>694</v>
      </c>
      <c r="H65" s="184">
        <f t="shared" si="5"/>
        <v>17.534722508656106</v>
      </c>
      <c r="I65" s="184">
        <f t="shared" si="20"/>
        <v>12.581896396484561</v>
      </c>
      <c r="J65" s="185">
        <f t="shared" si="2"/>
        <v>8731.8360991602858</v>
      </c>
      <c r="K65" s="192">
        <f t="shared" si="11"/>
        <v>12169.097421007338</v>
      </c>
      <c r="L65" s="191">
        <f t="shared" si="19"/>
        <v>-3437.2613218470524</v>
      </c>
      <c r="M65" s="188">
        <f t="shared" si="7"/>
        <v>-282.02737298460187</v>
      </c>
      <c r="N65" s="189">
        <f t="shared" si="8"/>
        <v>-3719.2886948316541</v>
      </c>
      <c r="O65" s="188">
        <v>0</v>
      </c>
      <c r="P65" s="188">
        <v>0</v>
      </c>
      <c r="Q65" s="188">
        <v>0</v>
      </c>
      <c r="R65" s="189">
        <f t="shared" si="9"/>
        <v>-3719.2886948316541</v>
      </c>
    </row>
    <row r="66" spans="1:18" x14ac:dyDescent="0.25">
      <c r="A66" s="146">
        <v>11</v>
      </c>
      <c r="B66" s="181">
        <f t="shared" si="4"/>
        <v>45231</v>
      </c>
      <c r="C66" s="201">
        <f t="shared" si="18"/>
        <v>45266</v>
      </c>
      <c r="D66" s="201">
        <f t="shared" si="18"/>
        <v>45285</v>
      </c>
      <c r="E66" s="52" t="s">
        <v>14</v>
      </c>
      <c r="F66" s="146">
        <v>9</v>
      </c>
      <c r="G66" s="183">
        <v>736</v>
      </c>
      <c r="H66" s="184">
        <f t="shared" si="5"/>
        <v>17.534722508656106</v>
      </c>
      <c r="I66" s="184">
        <f t="shared" si="20"/>
        <v>12.581896396484561</v>
      </c>
      <c r="J66" s="185">
        <f t="shared" si="2"/>
        <v>9260.2757478126368</v>
      </c>
      <c r="K66" s="192">
        <f t="shared" si="11"/>
        <v>12905.555766370893</v>
      </c>
      <c r="L66" s="191">
        <f t="shared" si="19"/>
        <v>-3645.2800185582564</v>
      </c>
      <c r="M66" s="188">
        <f t="shared" si="7"/>
        <v>-299.09531198367</v>
      </c>
      <c r="N66" s="189">
        <f t="shared" si="8"/>
        <v>-3944.3753305419264</v>
      </c>
      <c r="O66" s="188">
        <v>0</v>
      </c>
      <c r="P66" s="188">
        <v>0</v>
      </c>
      <c r="Q66" s="188">
        <v>0</v>
      </c>
      <c r="R66" s="189">
        <f t="shared" si="9"/>
        <v>-3944.3753305419264</v>
      </c>
    </row>
    <row r="67" spans="1:18" s="205" customFormat="1" x14ac:dyDescent="0.25">
      <c r="A67" s="146">
        <v>12</v>
      </c>
      <c r="B67" s="203">
        <f t="shared" si="4"/>
        <v>45261</v>
      </c>
      <c r="C67" s="201">
        <f t="shared" si="18"/>
        <v>45294</v>
      </c>
      <c r="D67" s="201">
        <f t="shared" si="18"/>
        <v>45315</v>
      </c>
      <c r="E67" s="204" t="s">
        <v>14</v>
      </c>
      <c r="F67" s="157">
        <v>9</v>
      </c>
      <c r="G67" s="183">
        <v>713</v>
      </c>
      <c r="H67" s="193">
        <f t="shared" si="5"/>
        <v>17.534722508656106</v>
      </c>
      <c r="I67" s="193">
        <f t="shared" si="20"/>
        <v>12.581896396484561</v>
      </c>
      <c r="J67" s="194">
        <f t="shared" si="2"/>
        <v>8970.8921306934917</v>
      </c>
      <c r="K67" s="195">
        <f t="shared" si="11"/>
        <v>12502.257148671804</v>
      </c>
      <c r="L67" s="196">
        <f t="shared" si="19"/>
        <v>-3531.3650179783126</v>
      </c>
      <c r="M67" s="188">
        <f t="shared" si="7"/>
        <v>-289.7485834841803</v>
      </c>
      <c r="N67" s="189">
        <f t="shared" si="8"/>
        <v>-3821.1136014624931</v>
      </c>
      <c r="O67" s="188">
        <v>0</v>
      </c>
      <c r="P67" s="188">
        <v>0</v>
      </c>
      <c r="Q67" s="188">
        <v>0</v>
      </c>
      <c r="R67" s="189">
        <f t="shared" si="9"/>
        <v>-3821.1136014624931</v>
      </c>
    </row>
    <row r="68" spans="1:18" x14ac:dyDescent="0.25">
      <c r="A68" s="110">
        <v>1</v>
      </c>
      <c r="B68" s="181">
        <f t="shared" si="4"/>
        <v>44927</v>
      </c>
      <c r="C68" s="198">
        <f t="shared" ref="C68:D79" si="21">+C56</f>
        <v>44960</v>
      </c>
      <c r="D68" s="198">
        <f t="shared" si="21"/>
        <v>44981</v>
      </c>
      <c r="E68" s="182" t="s">
        <v>82</v>
      </c>
      <c r="F68" s="110">
        <v>9</v>
      </c>
      <c r="G68" s="183">
        <v>44</v>
      </c>
      <c r="H68" s="184">
        <f t="shared" si="5"/>
        <v>17.534722508656106</v>
      </c>
      <c r="I68" s="184">
        <f t="shared" si="20"/>
        <v>12.581896396484561</v>
      </c>
      <c r="J68" s="185">
        <f t="shared" si="2"/>
        <v>553.60344144532064</v>
      </c>
      <c r="K68" s="186">
        <f t="shared" si="11"/>
        <v>771.52779038086862</v>
      </c>
      <c r="L68" s="187">
        <f t="shared" si="19"/>
        <v>-217.92434893554798</v>
      </c>
      <c r="M68" s="188">
        <f t="shared" si="7"/>
        <v>-17.880697999023752</v>
      </c>
      <c r="N68" s="189">
        <f t="shared" si="8"/>
        <v>-235.80504693457175</v>
      </c>
      <c r="O68" s="188">
        <v>0</v>
      </c>
      <c r="P68" s="188">
        <v>0</v>
      </c>
      <c r="Q68" s="188">
        <v>0</v>
      </c>
      <c r="R68" s="189">
        <f t="shared" si="9"/>
        <v>-235.80504693457175</v>
      </c>
    </row>
    <row r="69" spans="1:18" x14ac:dyDescent="0.25">
      <c r="A69" s="146">
        <v>2</v>
      </c>
      <c r="B69" s="181">
        <f t="shared" si="4"/>
        <v>44958</v>
      </c>
      <c r="C69" s="201">
        <f t="shared" si="21"/>
        <v>44988</v>
      </c>
      <c r="D69" s="201">
        <f t="shared" si="21"/>
        <v>45009</v>
      </c>
      <c r="E69" s="190" t="s">
        <v>82</v>
      </c>
      <c r="F69" s="146">
        <v>9</v>
      </c>
      <c r="G69" s="183">
        <v>42</v>
      </c>
      <c r="H69" s="184">
        <f t="shared" si="5"/>
        <v>17.534722508656106</v>
      </c>
      <c r="I69" s="184">
        <f t="shared" si="20"/>
        <v>12.581896396484561</v>
      </c>
      <c r="J69" s="185">
        <f t="shared" si="2"/>
        <v>528.43964865235159</v>
      </c>
      <c r="K69" s="186">
        <f t="shared" si="11"/>
        <v>736.45834536355642</v>
      </c>
      <c r="L69" s="187">
        <f t="shared" si="19"/>
        <v>-208.01869671120483</v>
      </c>
      <c r="M69" s="188">
        <f t="shared" si="7"/>
        <v>-17.067938999068126</v>
      </c>
      <c r="N69" s="189">
        <f t="shared" si="8"/>
        <v>-225.08663571027296</v>
      </c>
      <c r="O69" s="188">
        <v>0</v>
      </c>
      <c r="P69" s="188">
        <v>0</v>
      </c>
      <c r="Q69" s="188">
        <v>0</v>
      </c>
      <c r="R69" s="189">
        <f t="shared" si="9"/>
        <v>-225.08663571027296</v>
      </c>
    </row>
    <row r="70" spans="1:18" x14ac:dyDescent="0.25">
      <c r="A70" s="146">
        <v>3</v>
      </c>
      <c r="B70" s="181">
        <f t="shared" si="4"/>
        <v>44986</v>
      </c>
      <c r="C70" s="201">
        <f t="shared" si="21"/>
        <v>45021</v>
      </c>
      <c r="D70" s="201">
        <f t="shared" si="21"/>
        <v>45040</v>
      </c>
      <c r="E70" s="190" t="s">
        <v>82</v>
      </c>
      <c r="F70" s="146">
        <v>9</v>
      </c>
      <c r="G70" s="183">
        <v>37</v>
      </c>
      <c r="H70" s="184">
        <f t="shared" si="5"/>
        <v>17.534722508656106</v>
      </c>
      <c r="I70" s="184">
        <f t="shared" si="20"/>
        <v>12.581896396484561</v>
      </c>
      <c r="J70" s="185">
        <f t="shared" si="2"/>
        <v>465.53016666992875</v>
      </c>
      <c r="K70" s="186">
        <f t="shared" si="11"/>
        <v>648.78473282027596</v>
      </c>
      <c r="L70" s="187">
        <f>+J70-K70</f>
        <v>-183.25456615034722</v>
      </c>
      <c r="M70" s="188">
        <f t="shared" si="7"/>
        <v>-15.036041499179062</v>
      </c>
      <c r="N70" s="189">
        <f t="shared" si="8"/>
        <v>-198.29060764952627</v>
      </c>
      <c r="O70" s="188">
        <v>0</v>
      </c>
      <c r="P70" s="188">
        <v>0</v>
      </c>
      <c r="Q70" s="188">
        <v>0</v>
      </c>
      <c r="R70" s="189">
        <f t="shared" si="9"/>
        <v>-198.29060764952627</v>
      </c>
    </row>
    <row r="71" spans="1:18" x14ac:dyDescent="0.25">
      <c r="A71" s="110">
        <v>4</v>
      </c>
      <c r="B71" s="181">
        <f t="shared" si="4"/>
        <v>45017</v>
      </c>
      <c r="C71" s="201">
        <f t="shared" si="21"/>
        <v>45049</v>
      </c>
      <c r="D71" s="201">
        <f t="shared" si="21"/>
        <v>45070</v>
      </c>
      <c r="E71" s="190" t="s">
        <v>82</v>
      </c>
      <c r="F71" s="146">
        <v>9</v>
      </c>
      <c r="G71" s="183">
        <v>27</v>
      </c>
      <c r="H71" s="184">
        <f t="shared" si="5"/>
        <v>17.534722508656106</v>
      </c>
      <c r="I71" s="184">
        <f t="shared" si="20"/>
        <v>12.581896396484561</v>
      </c>
      <c r="J71" s="185">
        <f t="shared" si="2"/>
        <v>339.71120270508317</v>
      </c>
      <c r="K71" s="186">
        <f t="shared" si="11"/>
        <v>473.43750773371488</v>
      </c>
      <c r="L71" s="187">
        <f t="shared" ref="L71:L79" si="22">+J71-K71</f>
        <v>-133.72630502863171</v>
      </c>
      <c r="M71" s="188">
        <f t="shared" si="7"/>
        <v>-10.972246499400939</v>
      </c>
      <c r="N71" s="189">
        <f t="shared" si="8"/>
        <v>-144.69855152803265</v>
      </c>
      <c r="O71" s="188">
        <v>0</v>
      </c>
      <c r="P71" s="188">
        <v>0</v>
      </c>
      <c r="Q71" s="188">
        <v>0</v>
      </c>
      <c r="R71" s="189">
        <f t="shared" si="9"/>
        <v>-144.69855152803265</v>
      </c>
    </row>
    <row r="72" spans="1:18" x14ac:dyDescent="0.25">
      <c r="A72" s="146">
        <v>5</v>
      </c>
      <c r="B72" s="181">
        <f t="shared" si="4"/>
        <v>45047</v>
      </c>
      <c r="C72" s="201">
        <f t="shared" si="21"/>
        <v>45082</v>
      </c>
      <c r="D72" s="201">
        <f t="shared" si="21"/>
        <v>45103</v>
      </c>
      <c r="E72" s="190" t="s">
        <v>82</v>
      </c>
      <c r="F72" s="146">
        <v>9</v>
      </c>
      <c r="G72" s="183">
        <v>42</v>
      </c>
      <c r="H72" s="184">
        <f t="shared" si="5"/>
        <v>17.534722508656106</v>
      </c>
      <c r="I72" s="184">
        <f t="shared" si="20"/>
        <v>12.581896396484561</v>
      </c>
      <c r="J72" s="185">
        <f t="shared" si="2"/>
        <v>528.43964865235159</v>
      </c>
      <c r="K72" s="186">
        <f t="shared" si="11"/>
        <v>736.45834536355642</v>
      </c>
      <c r="L72" s="187">
        <f t="shared" si="22"/>
        <v>-208.01869671120483</v>
      </c>
      <c r="M72" s="188">
        <f t="shared" si="7"/>
        <v>-17.067938999068126</v>
      </c>
      <c r="N72" s="189">
        <f t="shared" si="8"/>
        <v>-225.08663571027296</v>
      </c>
      <c r="O72" s="188">
        <v>0</v>
      </c>
      <c r="P72" s="188">
        <v>0</v>
      </c>
      <c r="Q72" s="188">
        <v>0</v>
      </c>
      <c r="R72" s="189">
        <f t="shared" si="9"/>
        <v>-225.08663571027296</v>
      </c>
    </row>
    <row r="73" spans="1:18" x14ac:dyDescent="0.25">
      <c r="A73" s="146">
        <v>6</v>
      </c>
      <c r="B73" s="181">
        <f t="shared" si="4"/>
        <v>45078</v>
      </c>
      <c r="C73" s="201">
        <f t="shared" si="21"/>
        <v>45112</v>
      </c>
      <c r="D73" s="201">
        <f t="shared" si="21"/>
        <v>45131</v>
      </c>
      <c r="E73" s="190" t="s">
        <v>82</v>
      </c>
      <c r="F73" s="146">
        <v>9</v>
      </c>
      <c r="G73" s="183">
        <v>56</v>
      </c>
      <c r="H73" s="184">
        <f t="shared" si="5"/>
        <v>17.534722508656106</v>
      </c>
      <c r="I73" s="184">
        <f t="shared" si="20"/>
        <v>12.581896396484561</v>
      </c>
      <c r="J73" s="185">
        <f t="shared" si="2"/>
        <v>704.58619820313538</v>
      </c>
      <c r="K73" s="186">
        <f t="shared" si="11"/>
        <v>981.94446048474197</v>
      </c>
      <c r="L73" s="191">
        <f t="shared" si="22"/>
        <v>-277.35826228160659</v>
      </c>
      <c r="M73" s="188">
        <f t="shared" si="7"/>
        <v>-22.7572519987575</v>
      </c>
      <c r="N73" s="189">
        <f t="shared" si="8"/>
        <v>-300.1155142803641</v>
      </c>
      <c r="O73" s="188">
        <v>0</v>
      </c>
      <c r="P73" s="188">
        <v>0</v>
      </c>
      <c r="Q73" s="188">
        <v>0</v>
      </c>
      <c r="R73" s="189">
        <f t="shared" si="9"/>
        <v>-300.1155142803641</v>
      </c>
    </row>
    <row r="74" spans="1:18" x14ac:dyDescent="0.25">
      <c r="A74" s="110">
        <v>7</v>
      </c>
      <c r="B74" s="181">
        <f t="shared" si="4"/>
        <v>45108</v>
      </c>
      <c r="C74" s="201">
        <f t="shared" si="21"/>
        <v>45141</v>
      </c>
      <c r="D74" s="201">
        <f t="shared" si="21"/>
        <v>45162</v>
      </c>
      <c r="E74" s="190" t="s">
        <v>82</v>
      </c>
      <c r="F74" s="146">
        <v>9</v>
      </c>
      <c r="G74" s="183">
        <v>54</v>
      </c>
      <c r="H74" s="184">
        <f t="shared" si="5"/>
        <v>17.534722508656106</v>
      </c>
      <c r="I74" s="184">
        <f t="shared" si="20"/>
        <v>12.581896396484561</v>
      </c>
      <c r="J74" s="185">
        <f t="shared" si="2"/>
        <v>679.42240541016633</v>
      </c>
      <c r="K74" s="192">
        <f t="shared" si="11"/>
        <v>946.87501546742976</v>
      </c>
      <c r="L74" s="191">
        <f t="shared" si="22"/>
        <v>-267.45261005726343</v>
      </c>
      <c r="M74" s="188">
        <f t="shared" si="7"/>
        <v>-21.944492998801877</v>
      </c>
      <c r="N74" s="189">
        <f t="shared" si="8"/>
        <v>-289.3971030560653</v>
      </c>
      <c r="O74" s="188">
        <v>0</v>
      </c>
      <c r="P74" s="188">
        <v>0</v>
      </c>
      <c r="Q74" s="188">
        <v>0</v>
      </c>
      <c r="R74" s="189">
        <f t="shared" si="9"/>
        <v>-289.3971030560653</v>
      </c>
    </row>
    <row r="75" spans="1:18" x14ac:dyDescent="0.25">
      <c r="A75" s="146">
        <v>8</v>
      </c>
      <c r="B75" s="181">
        <f t="shared" si="4"/>
        <v>45139</v>
      </c>
      <c r="C75" s="201">
        <f t="shared" si="21"/>
        <v>45174</v>
      </c>
      <c r="D75" s="201">
        <f t="shared" si="21"/>
        <v>45194</v>
      </c>
      <c r="E75" s="190" t="s">
        <v>82</v>
      </c>
      <c r="F75" s="146">
        <v>9</v>
      </c>
      <c r="G75" s="183">
        <v>59</v>
      </c>
      <c r="H75" s="184">
        <f t="shared" si="5"/>
        <v>17.534722508656106</v>
      </c>
      <c r="I75" s="184">
        <f t="shared" si="20"/>
        <v>12.581896396484561</v>
      </c>
      <c r="J75" s="185">
        <f t="shared" si="2"/>
        <v>742.33188739258912</v>
      </c>
      <c r="K75" s="192">
        <f t="shared" si="11"/>
        <v>1034.5486280107102</v>
      </c>
      <c r="L75" s="191">
        <f t="shared" si="22"/>
        <v>-292.21674061812109</v>
      </c>
      <c r="M75" s="188">
        <f t="shared" si="7"/>
        <v>-23.97639049869094</v>
      </c>
      <c r="N75" s="189">
        <f t="shared" si="8"/>
        <v>-316.19313111681203</v>
      </c>
      <c r="O75" s="188">
        <v>0</v>
      </c>
      <c r="P75" s="188">
        <v>0</v>
      </c>
      <c r="Q75" s="188">
        <v>0</v>
      </c>
      <c r="R75" s="189">
        <f t="shared" si="9"/>
        <v>-316.19313111681203</v>
      </c>
    </row>
    <row r="76" spans="1:18" x14ac:dyDescent="0.25">
      <c r="A76" s="146">
        <v>9</v>
      </c>
      <c r="B76" s="181">
        <f t="shared" si="4"/>
        <v>45170</v>
      </c>
      <c r="C76" s="201">
        <f t="shared" si="21"/>
        <v>45203</v>
      </c>
      <c r="D76" s="201">
        <f t="shared" si="21"/>
        <v>45223</v>
      </c>
      <c r="E76" s="190" t="s">
        <v>82</v>
      </c>
      <c r="F76" s="146">
        <v>9</v>
      </c>
      <c r="G76" s="183">
        <v>54</v>
      </c>
      <c r="H76" s="184">
        <f t="shared" si="5"/>
        <v>17.534722508656106</v>
      </c>
      <c r="I76" s="184">
        <f t="shared" si="20"/>
        <v>12.581896396484561</v>
      </c>
      <c r="J76" s="185">
        <f t="shared" si="2"/>
        <v>679.42240541016633</v>
      </c>
      <c r="K76" s="192">
        <f t="shared" si="11"/>
        <v>946.87501546742976</v>
      </c>
      <c r="L76" s="191">
        <f t="shared" si="22"/>
        <v>-267.45261005726343</v>
      </c>
      <c r="M76" s="188">
        <f t="shared" si="7"/>
        <v>-21.944492998801877</v>
      </c>
      <c r="N76" s="189">
        <f t="shared" si="8"/>
        <v>-289.3971030560653</v>
      </c>
      <c r="O76" s="188">
        <v>0</v>
      </c>
      <c r="P76" s="188">
        <v>0</v>
      </c>
      <c r="Q76" s="188">
        <v>0</v>
      </c>
      <c r="R76" s="189">
        <f t="shared" si="9"/>
        <v>-289.3971030560653</v>
      </c>
    </row>
    <row r="77" spans="1:18" x14ac:dyDescent="0.25">
      <c r="A77" s="110">
        <v>10</v>
      </c>
      <c r="B77" s="181">
        <f t="shared" si="4"/>
        <v>45200</v>
      </c>
      <c r="C77" s="201">
        <f t="shared" si="21"/>
        <v>45233</v>
      </c>
      <c r="D77" s="201">
        <f t="shared" si="21"/>
        <v>45254</v>
      </c>
      <c r="E77" s="190" t="s">
        <v>82</v>
      </c>
      <c r="F77" s="146">
        <v>9</v>
      </c>
      <c r="G77" s="183">
        <v>37</v>
      </c>
      <c r="H77" s="184">
        <f t="shared" si="5"/>
        <v>17.534722508656106</v>
      </c>
      <c r="I77" s="184">
        <f t="shared" si="20"/>
        <v>12.581896396484561</v>
      </c>
      <c r="J77" s="185">
        <f t="shared" si="2"/>
        <v>465.53016666992875</v>
      </c>
      <c r="K77" s="192">
        <f t="shared" si="11"/>
        <v>648.78473282027596</v>
      </c>
      <c r="L77" s="191">
        <f t="shared" si="22"/>
        <v>-183.25456615034722</v>
      </c>
      <c r="M77" s="188">
        <f t="shared" si="7"/>
        <v>-15.036041499179062</v>
      </c>
      <c r="N77" s="189">
        <f t="shared" si="8"/>
        <v>-198.29060764952627</v>
      </c>
      <c r="O77" s="188">
        <v>0</v>
      </c>
      <c r="P77" s="188">
        <v>0</v>
      </c>
      <c r="Q77" s="188">
        <v>0</v>
      </c>
      <c r="R77" s="189">
        <f t="shared" si="9"/>
        <v>-198.29060764952627</v>
      </c>
    </row>
    <row r="78" spans="1:18" x14ac:dyDescent="0.25">
      <c r="A78" s="146">
        <v>11</v>
      </c>
      <c r="B78" s="181">
        <f t="shared" si="4"/>
        <v>45231</v>
      </c>
      <c r="C78" s="201">
        <f t="shared" si="21"/>
        <v>45266</v>
      </c>
      <c r="D78" s="201">
        <f t="shared" si="21"/>
        <v>45285</v>
      </c>
      <c r="E78" s="190" t="s">
        <v>82</v>
      </c>
      <c r="F78" s="146">
        <v>9</v>
      </c>
      <c r="G78" s="183">
        <v>38</v>
      </c>
      <c r="H78" s="184">
        <f t="shared" si="5"/>
        <v>17.534722508656106</v>
      </c>
      <c r="I78" s="184">
        <f t="shared" si="20"/>
        <v>12.581896396484561</v>
      </c>
      <c r="J78" s="185">
        <f t="shared" si="2"/>
        <v>478.11206306641333</v>
      </c>
      <c r="K78" s="192">
        <f>+$G78*H78</f>
        <v>666.31945532893201</v>
      </c>
      <c r="L78" s="191">
        <f t="shared" si="22"/>
        <v>-188.20739226251868</v>
      </c>
      <c r="M78" s="188">
        <f t="shared" si="7"/>
        <v>-15.442420999156877</v>
      </c>
      <c r="N78" s="189">
        <f t="shared" si="8"/>
        <v>-203.64981326167555</v>
      </c>
      <c r="O78" s="188">
        <v>0</v>
      </c>
      <c r="P78" s="188">
        <v>0</v>
      </c>
      <c r="Q78" s="188">
        <v>0</v>
      </c>
      <c r="R78" s="189">
        <f t="shared" si="9"/>
        <v>-203.64981326167555</v>
      </c>
    </row>
    <row r="79" spans="1:18" s="205" customFormat="1" x14ac:dyDescent="0.25">
      <c r="A79" s="146">
        <v>12</v>
      </c>
      <c r="B79" s="203">
        <f t="shared" si="4"/>
        <v>45261</v>
      </c>
      <c r="C79" s="206">
        <f t="shared" si="21"/>
        <v>45294</v>
      </c>
      <c r="D79" s="206">
        <f t="shared" si="21"/>
        <v>45315</v>
      </c>
      <c r="E79" s="207" t="s">
        <v>82</v>
      </c>
      <c r="F79" s="157">
        <v>9</v>
      </c>
      <c r="G79" s="183">
        <v>35</v>
      </c>
      <c r="H79" s="193">
        <f t="shared" si="5"/>
        <v>17.534722508656106</v>
      </c>
      <c r="I79" s="193">
        <f t="shared" si="20"/>
        <v>12.581896396484561</v>
      </c>
      <c r="J79" s="194">
        <f t="shared" si="2"/>
        <v>440.36637387695964</v>
      </c>
      <c r="K79" s="195">
        <f>+$G79*H79</f>
        <v>613.71528780296376</v>
      </c>
      <c r="L79" s="196">
        <f t="shared" si="22"/>
        <v>-173.34891392600412</v>
      </c>
      <c r="M79" s="188">
        <f t="shared" si="7"/>
        <v>-14.223282499223439</v>
      </c>
      <c r="N79" s="189">
        <f t="shared" si="8"/>
        <v>-187.57219642522756</v>
      </c>
      <c r="O79" s="188">
        <v>0</v>
      </c>
      <c r="P79" s="188">
        <v>0</v>
      </c>
      <c r="Q79" s="188">
        <v>0</v>
      </c>
      <c r="R79" s="189">
        <f t="shared" si="9"/>
        <v>-187.57219642522756</v>
      </c>
    </row>
    <row r="80" spans="1:18" s="50" customFormat="1" ht="12.75" customHeight="1" x14ac:dyDescent="0.25">
      <c r="A80" s="110">
        <v>1</v>
      </c>
      <c r="B80" s="181">
        <f t="shared" si="4"/>
        <v>44927</v>
      </c>
      <c r="C80" s="198">
        <f t="shared" ref="C80:D91" si="23">+C56</f>
        <v>44960</v>
      </c>
      <c r="D80" s="198">
        <f t="shared" si="23"/>
        <v>44981</v>
      </c>
      <c r="E80" s="182" t="s">
        <v>9</v>
      </c>
      <c r="F80" s="110">
        <v>9</v>
      </c>
      <c r="G80" s="183">
        <v>53</v>
      </c>
      <c r="H80" s="184">
        <f t="shared" si="5"/>
        <v>17.534722508656106</v>
      </c>
      <c r="I80" s="184">
        <f t="shared" si="20"/>
        <v>12.581896396484561</v>
      </c>
      <c r="J80" s="185">
        <f t="shared" si="2"/>
        <v>666.84050901368175</v>
      </c>
      <c r="K80" s="186">
        <f t="shared" si="11"/>
        <v>929.3402929587736</v>
      </c>
      <c r="L80" s="187">
        <f t="shared" si="19"/>
        <v>-262.49978394509185</v>
      </c>
      <c r="M80" s="188">
        <f t="shared" si="7"/>
        <v>-21.538113498824064</v>
      </c>
      <c r="N80" s="189">
        <f t="shared" si="8"/>
        <v>-284.03789744391594</v>
      </c>
      <c r="O80" s="188">
        <v>0</v>
      </c>
      <c r="P80" s="188">
        <v>0</v>
      </c>
      <c r="Q80" s="188">
        <v>0</v>
      </c>
      <c r="R80" s="189">
        <f t="shared" si="9"/>
        <v>-284.03789744391594</v>
      </c>
    </row>
    <row r="81" spans="1:18" x14ac:dyDescent="0.25">
      <c r="A81" s="146">
        <v>2</v>
      </c>
      <c r="B81" s="181">
        <f t="shared" si="4"/>
        <v>44958</v>
      </c>
      <c r="C81" s="201">
        <f t="shared" si="23"/>
        <v>44988</v>
      </c>
      <c r="D81" s="201">
        <f t="shared" si="23"/>
        <v>45009</v>
      </c>
      <c r="E81" s="190" t="s">
        <v>9</v>
      </c>
      <c r="F81" s="146">
        <v>9</v>
      </c>
      <c r="G81" s="183">
        <v>55</v>
      </c>
      <c r="H81" s="184">
        <f t="shared" si="5"/>
        <v>17.534722508656106</v>
      </c>
      <c r="I81" s="184">
        <f t="shared" si="20"/>
        <v>12.581896396484561</v>
      </c>
      <c r="J81" s="185">
        <f t="shared" si="2"/>
        <v>692.00430180665091</v>
      </c>
      <c r="K81" s="186">
        <f t="shared" si="11"/>
        <v>964.40973797608581</v>
      </c>
      <c r="L81" s="187">
        <f t="shared" si="19"/>
        <v>-272.40543616943489</v>
      </c>
      <c r="M81" s="188">
        <f t="shared" si="7"/>
        <v>-22.35087249877969</v>
      </c>
      <c r="N81" s="189">
        <f t="shared" si="8"/>
        <v>-294.75630866821456</v>
      </c>
      <c r="O81" s="188">
        <v>0</v>
      </c>
      <c r="P81" s="188">
        <v>0</v>
      </c>
      <c r="Q81" s="188">
        <v>0</v>
      </c>
      <c r="R81" s="189">
        <f t="shared" si="9"/>
        <v>-294.75630866821456</v>
      </c>
    </row>
    <row r="82" spans="1:18" x14ac:dyDescent="0.25">
      <c r="A82" s="146">
        <v>3</v>
      </c>
      <c r="B82" s="181">
        <f t="shared" si="4"/>
        <v>44986</v>
      </c>
      <c r="C82" s="201">
        <f t="shared" si="23"/>
        <v>45021</v>
      </c>
      <c r="D82" s="201">
        <f t="shared" si="23"/>
        <v>45040</v>
      </c>
      <c r="E82" s="190" t="s">
        <v>9</v>
      </c>
      <c r="F82" s="146">
        <v>9</v>
      </c>
      <c r="G82" s="183">
        <v>46</v>
      </c>
      <c r="H82" s="184">
        <f t="shared" si="5"/>
        <v>17.534722508656106</v>
      </c>
      <c r="I82" s="184">
        <f t="shared" si="20"/>
        <v>12.581896396484561</v>
      </c>
      <c r="J82" s="185">
        <f t="shared" si="2"/>
        <v>578.7672342382898</v>
      </c>
      <c r="K82" s="186">
        <f t="shared" si="11"/>
        <v>806.59723539818083</v>
      </c>
      <c r="L82" s="187">
        <f>+J82-K82</f>
        <v>-227.83000115989103</v>
      </c>
      <c r="M82" s="188">
        <f t="shared" si="7"/>
        <v>-18.693456998979375</v>
      </c>
      <c r="N82" s="189">
        <f t="shared" si="8"/>
        <v>-246.5234581588704</v>
      </c>
      <c r="O82" s="188">
        <v>0</v>
      </c>
      <c r="P82" s="188">
        <v>0</v>
      </c>
      <c r="Q82" s="188">
        <v>0</v>
      </c>
      <c r="R82" s="189">
        <f t="shared" si="9"/>
        <v>-246.5234581588704</v>
      </c>
    </row>
    <row r="83" spans="1:18" ht="12" customHeight="1" x14ac:dyDescent="0.25">
      <c r="A83" s="110">
        <v>4</v>
      </c>
      <c r="B83" s="181">
        <f t="shared" si="4"/>
        <v>45017</v>
      </c>
      <c r="C83" s="201">
        <f t="shared" si="23"/>
        <v>45049</v>
      </c>
      <c r="D83" s="201">
        <f t="shared" si="23"/>
        <v>45070</v>
      </c>
      <c r="E83" s="52" t="s">
        <v>9</v>
      </c>
      <c r="F83" s="146">
        <v>9</v>
      </c>
      <c r="G83" s="183">
        <v>33</v>
      </c>
      <c r="H83" s="184">
        <f t="shared" si="5"/>
        <v>17.534722508656106</v>
      </c>
      <c r="I83" s="184">
        <f t="shared" si="20"/>
        <v>12.581896396484561</v>
      </c>
      <c r="J83" s="185">
        <f t="shared" si="2"/>
        <v>415.20258108399054</v>
      </c>
      <c r="K83" s="186">
        <f t="shared" si="11"/>
        <v>578.64584278565155</v>
      </c>
      <c r="L83" s="187">
        <f t="shared" ref="L83:L93" si="24">+J83-K83</f>
        <v>-163.44326170166102</v>
      </c>
      <c r="M83" s="188">
        <f t="shared" si="7"/>
        <v>-13.410523499267814</v>
      </c>
      <c r="N83" s="189">
        <f t="shared" si="8"/>
        <v>-176.85378520092883</v>
      </c>
      <c r="O83" s="188">
        <v>0</v>
      </c>
      <c r="P83" s="188">
        <v>0</v>
      </c>
      <c r="Q83" s="188">
        <v>0</v>
      </c>
      <c r="R83" s="189">
        <f t="shared" si="9"/>
        <v>-176.85378520092883</v>
      </c>
    </row>
    <row r="84" spans="1:18" ht="12" customHeight="1" x14ac:dyDescent="0.25">
      <c r="A84" s="146">
        <v>5</v>
      </c>
      <c r="B84" s="181">
        <f t="shared" si="4"/>
        <v>45047</v>
      </c>
      <c r="C84" s="201">
        <f t="shared" si="23"/>
        <v>45082</v>
      </c>
      <c r="D84" s="201">
        <f t="shared" si="23"/>
        <v>45103</v>
      </c>
      <c r="E84" s="52" t="s">
        <v>9</v>
      </c>
      <c r="F84" s="146">
        <v>9</v>
      </c>
      <c r="G84" s="183">
        <v>44</v>
      </c>
      <c r="H84" s="184">
        <f t="shared" si="5"/>
        <v>17.534722508656106</v>
      </c>
      <c r="I84" s="184">
        <f t="shared" si="20"/>
        <v>12.581896396484561</v>
      </c>
      <c r="J84" s="185">
        <f t="shared" si="2"/>
        <v>553.60344144532064</v>
      </c>
      <c r="K84" s="186">
        <f t="shared" si="11"/>
        <v>771.52779038086862</v>
      </c>
      <c r="L84" s="187">
        <f t="shared" si="24"/>
        <v>-217.92434893554798</v>
      </c>
      <c r="M84" s="188">
        <f t="shared" si="7"/>
        <v>-17.880697999023752</v>
      </c>
      <c r="N84" s="189">
        <f t="shared" si="8"/>
        <v>-235.80504693457175</v>
      </c>
      <c r="O84" s="188">
        <v>0</v>
      </c>
      <c r="P84" s="188">
        <v>0</v>
      </c>
      <c r="Q84" s="188">
        <v>0</v>
      </c>
      <c r="R84" s="189">
        <f t="shared" si="9"/>
        <v>-235.80504693457175</v>
      </c>
    </row>
    <row r="85" spans="1:18" x14ac:dyDescent="0.25">
      <c r="A85" s="146">
        <v>6</v>
      </c>
      <c r="B85" s="181">
        <f t="shared" si="4"/>
        <v>45078</v>
      </c>
      <c r="C85" s="201">
        <f t="shared" si="23"/>
        <v>45112</v>
      </c>
      <c r="D85" s="201">
        <f t="shared" si="23"/>
        <v>45131</v>
      </c>
      <c r="E85" s="52" t="s">
        <v>9</v>
      </c>
      <c r="F85" s="146">
        <v>9</v>
      </c>
      <c r="G85" s="183">
        <v>55</v>
      </c>
      <c r="H85" s="184">
        <f t="shared" ref="H85:H148" si="25">+$K$3</f>
        <v>17.534722508656106</v>
      </c>
      <c r="I85" s="184">
        <f t="shared" si="20"/>
        <v>12.581896396484561</v>
      </c>
      <c r="J85" s="185">
        <f t="shared" si="2"/>
        <v>692.00430180665091</v>
      </c>
      <c r="K85" s="186">
        <f t="shared" si="11"/>
        <v>964.40973797608581</v>
      </c>
      <c r="L85" s="191">
        <f t="shared" si="24"/>
        <v>-272.40543616943489</v>
      </c>
      <c r="M85" s="188">
        <f t="shared" ref="M85:M148" si="26">G85/$G$212*$M$14</f>
        <v>-22.35087249877969</v>
      </c>
      <c r="N85" s="189">
        <f t="shared" ref="N85:N148" si="27">SUM(L85:M85)</f>
        <v>-294.75630866821456</v>
      </c>
      <c r="O85" s="188">
        <v>0</v>
      </c>
      <c r="P85" s="188">
        <v>0</v>
      </c>
      <c r="Q85" s="188">
        <v>0</v>
      </c>
      <c r="R85" s="189">
        <f t="shared" ref="R85:R148" si="28">+N85-Q85</f>
        <v>-294.75630866821456</v>
      </c>
    </row>
    <row r="86" spans="1:18" x14ac:dyDescent="0.25">
      <c r="A86" s="110">
        <v>7</v>
      </c>
      <c r="B86" s="181">
        <f t="shared" si="4"/>
        <v>45108</v>
      </c>
      <c r="C86" s="201">
        <f t="shared" si="23"/>
        <v>45141</v>
      </c>
      <c r="D86" s="201">
        <f t="shared" si="23"/>
        <v>45162</v>
      </c>
      <c r="E86" s="52" t="s">
        <v>9</v>
      </c>
      <c r="F86" s="146">
        <v>9</v>
      </c>
      <c r="G86" s="183">
        <v>57</v>
      </c>
      <c r="H86" s="184">
        <f t="shared" si="25"/>
        <v>17.534722508656106</v>
      </c>
      <c r="I86" s="184">
        <f t="shared" si="20"/>
        <v>12.581896396484561</v>
      </c>
      <c r="J86" s="185">
        <f t="shared" si="2"/>
        <v>717.16809459961996</v>
      </c>
      <c r="K86" s="192">
        <f t="shared" si="11"/>
        <v>999.47918299339801</v>
      </c>
      <c r="L86" s="191">
        <f t="shared" si="24"/>
        <v>-282.31108839377805</v>
      </c>
      <c r="M86" s="188">
        <f t="shared" si="26"/>
        <v>-23.163631498735313</v>
      </c>
      <c r="N86" s="189">
        <f t="shared" si="27"/>
        <v>-305.47471989251335</v>
      </c>
      <c r="O86" s="188">
        <v>0</v>
      </c>
      <c r="P86" s="188">
        <v>0</v>
      </c>
      <c r="Q86" s="188">
        <v>0</v>
      </c>
      <c r="R86" s="189">
        <f t="shared" si="28"/>
        <v>-305.47471989251335</v>
      </c>
    </row>
    <row r="87" spans="1:18" x14ac:dyDescent="0.25">
      <c r="A87" s="146">
        <v>8</v>
      </c>
      <c r="B87" s="181">
        <f t="shared" si="4"/>
        <v>45139</v>
      </c>
      <c r="C87" s="201">
        <f t="shared" si="23"/>
        <v>45174</v>
      </c>
      <c r="D87" s="201">
        <f t="shared" si="23"/>
        <v>45194</v>
      </c>
      <c r="E87" s="52" t="s">
        <v>9</v>
      </c>
      <c r="F87" s="146">
        <v>9</v>
      </c>
      <c r="G87" s="183">
        <v>56</v>
      </c>
      <c r="H87" s="184">
        <f t="shared" si="25"/>
        <v>17.534722508656106</v>
      </c>
      <c r="I87" s="184">
        <f t="shared" si="20"/>
        <v>12.581896396484561</v>
      </c>
      <c r="J87" s="185">
        <f t="shared" si="2"/>
        <v>704.58619820313538</v>
      </c>
      <c r="K87" s="192">
        <f t="shared" si="11"/>
        <v>981.94446048474197</v>
      </c>
      <c r="L87" s="191">
        <f t="shared" si="24"/>
        <v>-277.35826228160659</v>
      </c>
      <c r="M87" s="188">
        <f t="shared" si="26"/>
        <v>-22.7572519987575</v>
      </c>
      <c r="N87" s="189">
        <f t="shared" si="27"/>
        <v>-300.1155142803641</v>
      </c>
      <c r="O87" s="188">
        <v>0</v>
      </c>
      <c r="P87" s="188">
        <v>0</v>
      </c>
      <c r="Q87" s="188">
        <v>0</v>
      </c>
      <c r="R87" s="189">
        <f t="shared" si="28"/>
        <v>-300.1155142803641</v>
      </c>
    </row>
    <row r="88" spans="1:18" x14ac:dyDescent="0.25">
      <c r="A88" s="146">
        <v>9</v>
      </c>
      <c r="B88" s="181">
        <f t="shared" si="4"/>
        <v>45170</v>
      </c>
      <c r="C88" s="201">
        <f t="shared" si="23"/>
        <v>45203</v>
      </c>
      <c r="D88" s="201">
        <f t="shared" si="23"/>
        <v>45223</v>
      </c>
      <c r="E88" s="52" t="s">
        <v>9</v>
      </c>
      <c r="F88" s="146">
        <v>9</v>
      </c>
      <c r="G88" s="183">
        <v>60</v>
      </c>
      <c r="H88" s="184">
        <f t="shared" si="25"/>
        <v>17.534722508656106</v>
      </c>
      <c r="I88" s="184">
        <f t="shared" si="20"/>
        <v>12.581896396484561</v>
      </c>
      <c r="J88" s="185">
        <f t="shared" si="2"/>
        <v>754.9137837890737</v>
      </c>
      <c r="K88" s="192">
        <f t="shared" si="11"/>
        <v>1052.0833505193664</v>
      </c>
      <c r="L88" s="191">
        <f t="shared" si="24"/>
        <v>-297.16956673029267</v>
      </c>
      <c r="M88" s="188">
        <f t="shared" si="26"/>
        <v>-24.382769998668749</v>
      </c>
      <c r="N88" s="189">
        <f t="shared" si="27"/>
        <v>-321.55233672896145</v>
      </c>
      <c r="O88" s="188">
        <v>0</v>
      </c>
      <c r="P88" s="188">
        <v>0</v>
      </c>
      <c r="Q88" s="188">
        <v>0</v>
      </c>
      <c r="R88" s="189">
        <f t="shared" si="28"/>
        <v>-321.55233672896145</v>
      </c>
    </row>
    <row r="89" spans="1:18" x14ac:dyDescent="0.25">
      <c r="A89" s="110">
        <v>10</v>
      </c>
      <c r="B89" s="181">
        <f t="shared" si="4"/>
        <v>45200</v>
      </c>
      <c r="C89" s="201">
        <f t="shared" si="23"/>
        <v>45233</v>
      </c>
      <c r="D89" s="201">
        <f t="shared" si="23"/>
        <v>45254</v>
      </c>
      <c r="E89" s="52" t="s">
        <v>9</v>
      </c>
      <c r="F89" s="146">
        <v>9</v>
      </c>
      <c r="G89" s="183">
        <v>48</v>
      </c>
      <c r="H89" s="184">
        <f t="shared" si="25"/>
        <v>17.534722508656106</v>
      </c>
      <c r="I89" s="184">
        <f t="shared" si="20"/>
        <v>12.581896396484561</v>
      </c>
      <c r="J89" s="185">
        <f t="shared" si="2"/>
        <v>603.93102703125896</v>
      </c>
      <c r="K89" s="192">
        <f t="shared" si="11"/>
        <v>841.66668041549315</v>
      </c>
      <c r="L89" s="191">
        <f t="shared" si="24"/>
        <v>-237.73565338423418</v>
      </c>
      <c r="M89" s="188">
        <f t="shared" si="26"/>
        <v>-19.506215998935001</v>
      </c>
      <c r="N89" s="189">
        <f t="shared" si="27"/>
        <v>-257.24186938316916</v>
      </c>
      <c r="O89" s="188">
        <v>0</v>
      </c>
      <c r="P89" s="188">
        <v>0</v>
      </c>
      <c r="Q89" s="188">
        <v>0</v>
      </c>
      <c r="R89" s="189">
        <f t="shared" si="28"/>
        <v>-257.24186938316916</v>
      </c>
    </row>
    <row r="90" spans="1:18" x14ac:dyDescent="0.25">
      <c r="A90" s="146">
        <v>11</v>
      </c>
      <c r="B90" s="181">
        <f t="shared" si="4"/>
        <v>45231</v>
      </c>
      <c r="C90" s="201">
        <f t="shared" si="23"/>
        <v>45266</v>
      </c>
      <c r="D90" s="201">
        <f t="shared" si="23"/>
        <v>45285</v>
      </c>
      <c r="E90" s="52" t="s">
        <v>9</v>
      </c>
      <c r="F90" s="146">
        <v>9</v>
      </c>
      <c r="G90" s="183">
        <v>54</v>
      </c>
      <c r="H90" s="184">
        <f t="shared" si="25"/>
        <v>17.534722508656106</v>
      </c>
      <c r="I90" s="184">
        <f t="shared" si="20"/>
        <v>12.581896396484561</v>
      </c>
      <c r="J90" s="185">
        <f t="shared" si="2"/>
        <v>679.42240541016633</v>
      </c>
      <c r="K90" s="192">
        <f t="shared" si="11"/>
        <v>946.87501546742976</v>
      </c>
      <c r="L90" s="191">
        <f t="shared" si="24"/>
        <v>-267.45261005726343</v>
      </c>
      <c r="M90" s="188">
        <f t="shared" si="26"/>
        <v>-21.944492998801877</v>
      </c>
      <c r="N90" s="189">
        <f t="shared" si="27"/>
        <v>-289.3971030560653</v>
      </c>
      <c r="O90" s="188">
        <v>0</v>
      </c>
      <c r="P90" s="188">
        <v>0</v>
      </c>
      <c r="Q90" s="188">
        <v>0</v>
      </c>
      <c r="R90" s="189">
        <f t="shared" si="28"/>
        <v>-289.3971030560653</v>
      </c>
    </row>
    <row r="91" spans="1:18" s="205" customFormat="1" x14ac:dyDescent="0.25">
      <c r="A91" s="146">
        <v>12</v>
      </c>
      <c r="B91" s="203">
        <f t="shared" si="4"/>
        <v>45261</v>
      </c>
      <c r="C91" s="201">
        <f t="shared" si="23"/>
        <v>45294</v>
      </c>
      <c r="D91" s="201">
        <f t="shared" si="23"/>
        <v>45315</v>
      </c>
      <c r="E91" s="204" t="s">
        <v>9</v>
      </c>
      <c r="F91" s="157">
        <v>9</v>
      </c>
      <c r="G91" s="183">
        <v>55</v>
      </c>
      <c r="H91" s="193">
        <f t="shared" si="25"/>
        <v>17.534722508656106</v>
      </c>
      <c r="I91" s="193">
        <f t="shared" si="20"/>
        <v>12.581896396484561</v>
      </c>
      <c r="J91" s="194">
        <f t="shared" si="2"/>
        <v>692.00430180665091</v>
      </c>
      <c r="K91" s="195">
        <f t="shared" si="11"/>
        <v>964.40973797608581</v>
      </c>
      <c r="L91" s="196">
        <f t="shared" si="24"/>
        <v>-272.40543616943489</v>
      </c>
      <c r="M91" s="188">
        <f t="shared" si="26"/>
        <v>-22.35087249877969</v>
      </c>
      <c r="N91" s="189">
        <f t="shared" si="27"/>
        <v>-294.75630866821456</v>
      </c>
      <c r="O91" s="188">
        <v>0</v>
      </c>
      <c r="P91" s="188">
        <v>0</v>
      </c>
      <c r="Q91" s="188">
        <v>0</v>
      </c>
      <c r="R91" s="189">
        <f t="shared" si="28"/>
        <v>-294.75630866821456</v>
      </c>
    </row>
    <row r="92" spans="1:18" x14ac:dyDescent="0.25">
      <c r="A92" s="110">
        <v>1</v>
      </c>
      <c r="B92" s="181">
        <f t="shared" si="4"/>
        <v>44927</v>
      </c>
      <c r="C92" s="198">
        <f t="shared" ref="C92:D95" si="29">+C80</f>
        <v>44960</v>
      </c>
      <c r="D92" s="198">
        <f t="shared" si="29"/>
        <v>44981</v>
      </c>
      <c r="E92" s="182" t="s">
        <v>8</v>
      </c>
      <c r="F92" s="110">
        <v>9</v>
      </c>
      <c r="G92" s="183">
        <v>84</v>
      </c>
      <c r="H92" s="184">
        <f t="shared" si="25"/>
        <v>17.534722508656106</v>
      </c>
      <c r="I92" s="184">
        <f t="shared" si="20"/>
        <v>12.581896396484561</v>
      </c>
      <c r="J92" s="185">
        <f t="shared" si="2"/>
        <v>1056.8792973047032</v>
      </c>
      <c r="K92" s="186">
        <f t="shared" si="11"/>
        <v>1472.9166907271128</v>
      </c>
      <c r="L92" s="187">
        <f t="shared" si="24"/>
        <v>-416.03739342240965</v>
      </c>
      <c r="M92" s="188">
        <f t="shared" si="26"/>
        <v>-34.135877998136252</v>
      </c>
      <c r="N92" s="189">
        <f t="shared" si="27"/>
        <v>-450.17327142054592</v>
      </c>
      <c r="O92" s="188">
        <v>0</v>
      </c>
      <c r="P92" s="188">
        <v>0</v>
      </c>
      <c r="Q92" s="188">
        <v>0</v>
      </c>
      <c r="R92" s="189">
        <f t="shared" si="28"/>
        <v>-450.17327142054592</v>
      </c>
    </row>
    <row r="93" spans="1:18" x14ac:dyDescent="0.25">
      <c r="A93" s="146">
        <v>2</v>
      </c>
      <c r="B93" s="181">
        <f t="shared" si="4"/>
        <v>44958</v>
      </c>
      <c r="C93" s="201">
        <f t="shared" si="29"/>
        <v>44988</v>
      </c>
      <c r="D93" s="201">
        <f t="shared" si="29"/>
        <v>45009</v>
      </c>
      <c r="E93" s="190" t="s">
        <v>8</v>
      </c>
      <c r="F93" s="146">
        <v>9</v>
      </c>
      <c r="G93" s="183">
        <v>83</v>
      </c>
      <c r="H93" s="184">
        <f t="shared" si="25"/>
        <v>17.534722508656106</v>
      </c>
      <c r="I93" s="184">
        <f t="shared" si="20"/>
        <v>12.581896396484561</v>
      </c>
      <c r="J93" s="185">
        <f t="shared" si="2"/>
        <v>1044.2974009082186</v>
      </c>
      <c r="K93" s="186">
        <f t="shared" si="11"/>
        <v>1455.3819682184569</v>
      </c>
      <c r="L93" s="187">
        <f t="shared" si="24"/>
        <v>-411.0845673102383</v>
      </c>
      <c r="M93" s="188">
        <f t="shared" si="26"/>
        <v>-33.729498498158435</v>
      </c>
      <c r="N93" s="189">
        <f t="shared" si="27"/>
        <v>-444.81406580839672</v>
      </c>
      <c r="O93" s="188">
        <v>0</v>
      </c>
      <c r="P93" s="188">
        <v>0</v>
      </c>
      <c r="Q93" s="188">
        <v>0</v>
      </c>
      <c r="R93" s="189">
        <f t="shared" si="28"/>
        <v>-444.81406580839672</v>
      </c>
    </row>
    <row r="94" spans="1:18" x14ac:dyDescent="0.25">
      <c r="A94" s="146">
        <v>3</v>
      </c>
      <c r="B94" s="181">
        <f t="shared" si="4"/>
        <v>44986</v>
      </c>
      <c r="C94" s="201">
        <f t="shared" si="29"/>
        <v>45021</v>
      </c>
      <c r="D94" s="201">
        <f t="shared" si="29"/>
        <v>45040</v>
      </c>
      <c r="E94" s="190" t="s">
        <v>8</v>
      </c>
      <c r="F94" s="146">
        <v>9</v>
      </c>
      <c r="G94" s="183">
        <v>76</v>
      </c>
      <c r="H94" s="184">
        <f t="shared" si="25"/>
        <v>17.534722508656106</v>
      </c>
      <c r="I94" s="184">
        <f t="shared" si="20"/>
        <v>12.581896396484561</v>
      </c>
      <c r="J94" s="185">
        <f t="shared" si="2"/>
        <v>956.22412613282665</v>
      </c>
      <c r="K94" s="186">
        <f t="shared" ref="K94:K133" si="30">+$G94*H94</f>
        <v>1332.638910657864</v>
      </c>
      <c r="L94" s="187">
        <f>+J94-K94</f>
        <v>-376.41478452503736</v>
      </c>
      <c r="M94" s="188">
        <f t="shared" si="26"/>
        <v>-30.884841998313753</v>
      </c>
      <c r="N94" s="189">
        <f t="shared" si="27"/>
        <v>-407.29962652335109</v>
      </c>
      <c r="O94" s="188">
        <v>0</v>
      </c>
      <c r="P94" s="188">
        <v>0</v>
      </c>
      <c r="Q94" s="188">
        <v>0</v>
      </c>
      <c r="R94" s="189">
        <f t="shared" si="28"/>
        <v>-407.29962652335109</v>
      </c>
    </row>
    <row r="95" spans="1:18" x14ac:dyDescent="0.25">
      <c r="A95" s="110">
        <v>4</v>
      </c>
      <c r="B95" s="181">
        <f t="shared" si="4"/>
        <v>45017</v>
      </c>
      <c r="C95" s="201">
        <f t="shared" si="29"/>
        <v>45049</v>
      </c>
      <c r="D95" s="201">
        <f t="shared" si="29"/>
        <v>45070</v>
      </c>
      <c r="E95" s="190" t="s">
        <v>8</v>
      </c>
      <c r="F95" s="146">
        <v>9</v>
      </c>
      <c r="G95" s="183">
        <v>69</v>
      </c>
      <c r="H95" s="184">
        <f t="shared" si="25"/>
        <v>17.534722508656106</v>
      </c>
      <c r="I95" s="184">
        <f t="shared" si="20"/>
        <v>12.581896396484561</v>
      </c>
      <c r="J95" s="185">
        <f t="shared" si="2"/>
        <v>868.1508513574347</v>
      </c>
      <c r="K95" s="186">
        <f t="shared" si="30"/>
        <v>1209.8958530972714</v>
      </c>
      <c r="L95" s="187">
        <f t="shared" ref="L95:L105" si="31">+J95-K95</f>
        <v>-341.74500173983665</v>
      </c>
      <c r="M95" s="188">
        <f t="shared" si="26"/>
        <v>-28.040185498469064</v>
      </c>
      <c r="N95" s="189">
        <f t="shared" si="27"/>
        <v>-369.7851872383057</v>
      </c>
      <c r="O95" s="188">
        <v>0</v>
      </c>
      <c r="P95" s="188">
        <v>0</v>
      </c>
      <c r="Q95" s="188">
        <v>0</v>
      </c>
      <c r="R95" s="189">
        <f t="shared" si="28"/>
        <v>-369.7851872383057</v>
      </c>
    </row>
    <row r="96" spans="1:18" x14ac:dyDescent="0.25">
      <c r="A96" s="146">
        <v>5</v>
      </c>
      <c r="B96" s="181">
        <f t="shared" si="4"/>
        <v>45047</v>
      </c>
      <c r="C96" s="201">
        <f t="shared" ref="C96:D116" si="32">+C84</f>
        <v>45082</v>
      </c>
      <c r="D96" s="201">
        <f t="shared" si="32"/>
        <v>45103</v>
      </c>
      <c r="E96" s="52" t="s">
        <v>8</v>
      </c>
      <c r="F96" s="146">
        <v>9</v>
      </c>
      <c r="G96" s="183">
        <v>99</v>
      </c>
      <c r="H96" s="184">
        <f t="shared" si="25"/>
        <v>17.534722508656106</v>
      </c>
      <c r="I96" s="184">
        <f t="shared" si="20"/>
        <v>12.581896396484561</v>
      </c>
      <c r="J96" s="185">
        <f t="shared" si="2"/>
        <v>1245.6077432519714</v>
      </c>
      <c r="K96" s="186">
        <f t="shared" si="30"/>
        <v>1735.9375283569545</v>
      </c>
      <c r="L96" s="187">
        <f t="shared" si="31"/>
        <v>-490.3297851049831</v>
      </c>
      <c r="M96" s="188">
        <f t="shared" si="26"/>
        <v>-40.231570497803439</v>
      </c>
      <c r="N96" s="189">
        <f t="shared" si="27"/>
        <v>-530.56135560278653</v>
      </c>
      <c r="O96" s="188">
        <v>0</v>
      </c>
      <c r="P96" s="188">
        <v>0</v>
      </c>
      <c r="Q96" s="188">
        <v>0</v>
      </c>
      <c r="R96" s="189">
        <f t="shared" si="28"/>
        <v>-530.56135560278653</v>
      </c>
    </row>
    <row r="97" spans="1:18" x14ac:dyDescent="0.25">
      <c r="A97" s="146">
        <v>6</v>
      </c>
      <c r="B97" s="181">
        <f t="shared" si="4"/>
        <v>45078</v>
      </c>
      <c r="C97" s="201">
        <f t="shared" si="32"/>
        <v>45112</v>
      </c>
      <c r="D97" s="201">
        <f t="shared" si="32"/>
        <v>45131</v>
      </c>
      <c r="E97" s="52" t="s">
        <v>8</v>
      </c>
      <c r="F97" s="146">
        <v>9</v>
      </c>
      <c r="G97" s="183">
        <v>149</v>
      </c>
      <c r="H97" s="184">
        <f t="shared" si="25"/>
        <v>17.534722508656106</v>
      </c>
      <c r="I97" s="184">
        <f t="shared" si="20"/>
        <v>12.581896396484561</v>
      </c>
      <c r="J97" s="185">
        <f t="shared" si="2"/>
        <v>1874.7025630761996</v>
      </c>
      <c r="K97" s="186">
        <f t="shared" si="30"/>
        <v>2612.67365378976</v>
      </c>
      <c r="L97" s="191">
        <f t="shared" si="31"/>
        <v>-737.97109071356044</v>
      </c>
      <c r="M97" s="188">
        <f t="shared" si="26"/>
        <v>-60.550545496694063</v>
      </c>
      <c r="N97" s="189">
        <f t="shared" si="27"/>
        <v>-798.52163621025454</v>
      </c>
      <c r="O97" s="188">
        <v>0</v>
      </c>
      <c r="P97" s="188">
        <v>0</v>
      </c>
      <c r="Q97" s="188">
        <v>0</v>
      </c>
      <c r="R97" s="189">
        <f t="shared" si="28"/>
        <v>-798.52163621025454</v>
      </c>
    </row>
    <row r="98" spans="1:18" x14ac:dyDescent="0.25">
      <c r="A98" s="110">
        <v>7</v>
      </c>
      <c r="B98" s="181">
        <f t="shared" si="4"/>
        <v>45108</v>
      </c>
      <c r="C98" s="201">
        <f t="shared" si="32"/>
        <v>45141</v>
      </c>
      <c r="D98" s="201">
        <f t="shared" si="32"/>
        <v>45162</v>
      </c>
      <c r="E98" s="52" t="s">
        <v>8</v>
      </c>
      <c r="F98" s="146">
        <v>9</v>
      </c>
      <c r="G98" s="183">
        <v>148</v>
      </c>
      <c r="H98" s="184">
        <f t="shared" si="25"/>
        <v>17.534722508656106</v>
      </c>
      <c r="I98" s="184">
        <f t="shared" si="20"/>
        <v>12.581896396484561</v>
      </c>
      <c r="J98" s="185">
        <f t="shared" si="2"/>
        <v>1862.120666679715</v>
      </c>
      <c r="K98" s="192">
        <f t="shared" si="30"/>
        <v>2595.1389312811039</v>
      </c>
      <c r="L98" s="191">
        <f t="shared" si="31"/>
        <v>-733.01826460138886</v>
      </c>
      <c r="M98" s="188">
        <f t="shared" si="26"/>
        <v>-60.144165996716247</v>
      </c>
      <c r="N98" s="189">
        <f t="shared" si="27"/>
        <v>-793.16243059810506</v>
      </c>
      <c r="O98" s="188">
        <v>0</v>
      </c>
      <c r="P98" s="188">
        <v>0</v>
      </c>
      <c r="Q98" s="188">
        <v>0</v>
      </c>
      <c r="R98" s="189">
        <f t="shared" si="28"/>
        <v>-793.16243059810506</v>
      </c>
    </row>
    <row r="99" spans="1:18" x14ac:dyDescent="0.25">
      <c r="A99" s="146">
        <v>8</v>
      </c>
      <c r="B99" s="181">
        <f t="shared" si="4"/>
        <v>45139</v>
      </c>
      <c r="C99" s="201">
        <f t="shared" si="32"/>
        <v>45174</v>
      </c>
      <c r="D99" s="201">
        <f t="shared" si="32"/>
        <v>45194</v>
      </c>
      <c r="E99" s="52" t="s">
        <v>8</v>
      </c>
      <c r="F99" s="146">
        <v>9</v>
      </c>
      <c r="G99" s="183">
        <v>160</v>
      </c>
      <c r="H99" s="184">
        <f t="shared" si="25"/>
        <v>17.534722508656106</v>
      </c>
      <c r="I99" s="184">
        <f t="shared" si="20"/>
        <v>12.581896396484561</v>
      </c>
      <c r="J99" s="185">
        <f t="shared" si="2"/>
        <v>2013.1034234375297</v>
      </c>
      <c r="K99" s="192">
        <f t="shared" si="30"/>
        <v>2805.5556013849769</v>
      </c>
      <c r="L99" s="191">
        <f t="shared" si="31"/>
        <v>-792.45217794744713</v>
      </c>
      <c r="M99" s="188">
        <f t="shared" si="26"/>
        <v>-65.020719996449998</v>
      </c>
      <c r="N99" s="189">
        <f t="shared" si="27"/>
        <v>-857.47289794389712</v>
      </c>
      <c r="O99" s="188">
        <v>0</v>
      </c>
      <c r="P99" s="188">
        <v>0</v>
      </c>
      <c r="Q99" s="188">
        <v>0</v>
      </c>
      <c r="R99" s="189">
        <f t="shared" si="28"/>
        <v>-857.47289794389712</v>
      </c>
    </row>
    <row r="100" spans="1:18" x14ac:dyDescent="0.25">
      <c r="A100" s="146">
        <v>9</v>
      </c>
      <c r="B100" s="181">
        <f t="shared" si="4"/>
        <v>45170</v>
      </c>
      <c r="C100" s="201">
        <f t="shared" si="32"/>
        <v>45203</v>
      </c>
      <c r="D100" s="201">
        <f t="shared" si="32"/>
        <v>45223</v>
      </c>
      <c r="E100" s="52" t="s">
        <v>8</v>
      </c>
      <c r="F100" s="146">
        <v>9</v>
      </c>
      <c r="G100" s="183">
        <v>155</v>
      </c>
      <c r="H100" s="184">
        <f t="shared" si="25"/>
        <v>17.534722508656106</v>
      </c>
      <c r="I100" s="184">
        <f t="shared" si="20"/>
        <v>12.581896396484561</v>
      </c>
      <c r="J100" s="185">
        <f t="shared" si="2"/>
        <v>1950.1939414551071</v>
      </c>
      <c r="K100" s="192">
        <f t="shared" si="30"/>
        <v>2717.8819888416965</v>
      </c>
      <c r="L100" s="191">
        <f t="shared" si="31"/>
        <v>-767.68804738658946</v>
      </c>
      <c r="M100" s="188">
        <f t="shared" si="26"/>
        <v>-62.988822496560935</v>
      </c>
      <c r="N100" s="189">
        <f t="shared" si="27"/>
        <v>-830.6768698831504</v>
      </c>
      <c r="O100" s="188">
        <v>0</v>
      </c>
      <c r="P100" s="188">
        <v>0</v>
      </c>
      <c r="Q100" s="188">
        <v>0</v>
      </c>
      <c r="R100" s="189">
        <f t="shared" si="28"/>
        <v>-830.6768698831504</v>
      </c>
    </row>
    <row r="101" spans="1:18" x14ac:dyDescent="0.25">
      <c r="A101" s="110">
        <v>10</v>
      </c>
      <c r="B101" s="181">
        <f t="shared" si="4"/>
        <v>45200</v>
      </c>
      <c r="C101" s="201">
        <f t="shared" si="32"/>
        <v>45233</v>
      </c>
      <c r="D101" s="201">
        <f t="shared" si="32"/>
        <v>45254</v>
      </c>
      <c r="E101" s="52" t="s">
        <v>8</v>
      </c>
      <c r="F101" s="146">
        <v>9</v>
      </c>
      <c r="G101" s="183">
        <v>110</v>
      </c>
      <c r="H101" s="184">
        <f t="shared" si="25"/>
        <v>17.534722508656106</v>
      </c>
      <c r="I101" s="184">
        <f t="shared" si="20"/>
        <v>12.581896396484561</v>
      </c>
      <c r="J101" s="185">
        <f t="shared" si="2"/>
        <v>1384.0086036133018</v>
      </c>
      <c r="K101" s="192">
        <f t="shared" si="30"/>
        <v>1928.8194759521716</v>
      </c>
      <c r="L101" s="191">
        <f t="shared" si="31"/>
        <v>-544.81087233886979</v>
      </c>
      <c r="M101" s="188">
        <f t="shared" si="26"/>
        <v>-44.701744997559381</v>
      </c>
      <c r="N101" s="189">
        <f t="shared" si="27"/>
        <v>-589.51261733642912</v>
      </c>
      <c r="O101" s="188">
        <v>0</v>
      </c>
      <c r="P101" s="188">
        <v>0</v>
      </c>
      <c r="Q101" s="188">
        <v>0</v>
      </c>
      <c r="R101" s="189">
        <f t="shared" si="28"/>
        <v>-589.51261733642912</v>
      </c>
    </row>
    <row r="102" spans="1:18" x14ac:dyDescent="0.25">
      <c r="A102" s="146">
        <v>11</v>
      </c>
      <c r="B102" s="181">
        <f t="shared" si="4"/>
        <v>45231</v>
      </c>
      <c r="C102" s="201">
        <f t="shared" si="32"/>
        <v>45266</v>
      </c>
      <c r="D102" s="201">
        <f t="shared" si="32"/>
        <v>45285</v>
      </c>
      <c r="E102" s="52" t="s">
        <v>8</v>
      </c>
      <c r="F102" s="146">
        <v>9</v>
      </c>
      <c r="G102" s="183">
        <v>70</v>
      </c>
      <c r="H102" s="184">
        <f t="shared" si="25"/>
        <v>17.534722508656106</v>
      </c>
      <c r="I102" s="184">
        <f t="shared" si="20"/>
        <v>12.581896396484561</v>
      </c>
      <c r="J102" s="185">
        <f t="shared" si="2"/>
        <v>880.73274775391928</v>
      </c>
      <c r="K102" s="192">
        <f t="shared" si="30"/>
        <v>1227.4305756059275</v>
      </c>
      <c r="L102" s="191">
        <f t="shared" si="31"/>
        <v>-346.69782785200823</v>
      </c>
      <c r="M102" s="188">
        <f t="shared" si="26"/>
        <v>-28.446564998446878</v>
      </c>
      <c r="N102" s="189">
        <f t="shared" si="27"/>
        <v>-375.14439285045512</v>
      </c>
      <c r="O102" s="188">
        <v>0</v>
      </c>
      <c r="P102" s="188">
        <v>0</v>
      </c>
      <c r="Q102" s="188">
        <v>0</v>
      </c>
      <c r="R102" s="189">
        <f t="shared" si="28"/>
        <v>-375.14439285045512</v>
      </c>
    </row>
    <row r="103" spans="1:18" s="205" customFormat="1" x14ac:dyDescent="0.25">
      <c r="A103" s="146">
        <v>12</v>
      </c>
      <c r="B103" s="203">
        <f t="shared" si="4"/>
        <v>45261</v>
      </c>
      <c r="C103" s="201">
        <f t="shared" si="32"/>
        <v>45294</v>
      </c>
      <c r="D103" s="201">
        <f t="shared" si="32"/>
        <v>45315</v>
      </c>
      <c r="E103" s="204" t="s">
        <v>8</v>
      </c>
      <c r="F103" s="157">
        <v>9</v>
      </c>
      <c r="G103" s="183">
        <v>66</v>
      </c>
      <c r="H103" s="193">
        <f t="shared" si="25"/>
        <v>17.534722508656106</v>
      </c>
      <c r="I103" s="193">
        <f t="shared" si="20"/>
        <v>12.581896396484561</v>
      </c>
      <c r="J103" s="194">
        <f t="shared" si="2"/>
        <v>830.40516216798108</v>
      </c>
      <c r="K103" s="195">
        <f t="shared" si="30"/>
        <v>1157.2916855713031</v>
      </c>
      <c r="L103" s="196">
        <f t="shared" si="31"/>
        <v>-326.88652340332203</v>
      </c>
      <c r="M103" s="188">
        <f t="shared" si="26"/>
        <v>-26.821046998535628</v>
      </c>
      <c r="N103" s="189">
        <f t="shared" si="27"/>
        <v>-353.70757040185765</v>
      </c>
      <c r="O103" s="188">
        <v>0</v>
      </c>
      <c r="P103" s="188">
        <v>0</v>
      </c>
      <c r="Q103" s="188">
        <v>0</v>
      </c>
      <c r="R103" s="189">
        <f t="shared" si="28"/>
        <v>-353.70757040185765</v>
      </c>
    </row>
    <row r="104" spans="1:18" x14ac:dyDescent="0.25">
      <c r="A104" s="110">
        <v>1</v>
      </c>
      <c r="B104" s="181">
        <f t="shared" si="4"/>
        <v>44927</v>
      </c>
      <c r="C104" s="198">
        <f t="shared" si="32"/>
        <v>44960</v>
      </c>
      <c r="D104" s="198">
        <f t="shared" si="32"/>
        <v>44981</v>
      </c>
      <c r="E104" s="182" t="s">
        <v>19</v>
      </c>
      <c r="F104" s="110">
        <v>9</v>
      </c>
      <c r="G104" s="183">
        <v>63</v>
      </c>
      <c r="H104" s="184">
        <f t="shared" si="25"/>
        <v>17.534722508656106</v>
      </c>
      <c r="I104" s="184">
        <f t="shared" si="20"/>
        <v>12.581896396484561</v>
      </c>
      <c r="J104" s="185">
        <f t="shared" si="2"/>
        <v>792.65947297852733</v>
      </c>
      <c r="K104" s="186">
        <f t="shared" si="30"/>
        <v>1104.6875180453346</v>
      </c>
      <c r="L104" s="187">
        <f t="shared" si="31"/>
        <v>-312.02804506680729</v>
      </c>
      <c r="M104" s="188">
        <f t="shared" si="26"/>
        <v>-25.601908498602185</v>
      </c>
      <c r="N104" s="189">
        <f t="shared" si="27"/>
        <v>-337.62995356540949</v>
      </c>
      <c r="O104" s="188">
        <v>0</v>
      </c>
      <c r="P104" s="188">
        <v>0</v>
      </c>
      <c r="Q104" s="188">
        <v>0</v>
      </c>
      <c r="R104" s="189">
        <f t="shared" si="28"/>
        <v>-337.62995356540949</v>
      </c>
    </row>
    <row r="105" spans="1:18" x14ac:dyDescent="0.25">
      <c r="A105" s="146">
        <v>2</v>
      </c>
      <c r="B105" s="181">
        <f t="shared" si="4"/>
        <v>44958</v>
      </c>
      <c r="C105" s="201">
        <f t="shared" si="32"/>
        <v>44988</v>
      </c>
      <c r="D105" s="201">
        <f t="shared" si="32"/>
        <v>45009</v>
      </c>
      <c r="E105" s="190" t="s">
        <v>19</v>
      </c>
      <c r="F105" s="146">
        <v>9</v>
      </c>
      <c r="G105" s="183">
        <v>63</v>
      </c>
      <c r="H105" s="184">
        <f t="shared" si="25"/>
        <v>17.534722508656106</v>
      </c>
      <c r="I105" s="184">
        <f t="shared" si="20"/>
        <v>12.581896396484561</v>
      </c>
      <c r="J105" s="185">
        <f t="shared" si="2"/>
        <v>792.65947297852733</v>
      </c>
      <c r="K105" s="186">
        <f t="shared" si="30"/>
        <v>1104.6875180453346</v>
      </c>
      <c r="L105" s="187">
        <f t="shared" si="31"/>
        <v>-312.02804506680729</v>
      </c>
      <c r="M105" s="188">
        <f t="shared" si="26"/>
        <v>-25.601908498602185</v>
      </c>
      <c r="N105" s="189">
        <f t="shared" si="27"/>
        <v>-337.62995356540949</v>
      </c>
      <c r="O105" s="188">
        <v>0</v>
      </c>
      <c r="P105" s="188">
        <v>0</v>
      </c>
      <c r="Q105" s="188">
        <v>0</v>
      </c>
      <c r="R105" s="189">
        <f t="shared" si="28"/>
        <v>-337.62995356540949</v>
      </c>
    </row>
    <row r="106" spans="1:18" x14ac:dyDescent="0.25">
      <c r="A106" s="146">
        <v>3</v>
      </c>
      <c r="B106" s="181">
        <f t="shared" si="4"/>
        <v>44986</v>
      </c>
      <c r="C106" s="201">
        <f t="shared" si="32"/>
        <v>45021</v>
      </c>
      <c r="D106" s="201">
        <f t="shared" si="32"/>
        <v>45040</v>
      </c>
      <c r="E106" s="190" t="s">
        <v>19</v>
      </c>
      <c r="F106" s="146">
        <v>9</v>
      </c>
      <c r="G106" s="183">
        <v>67</v>
      </c>
      <c r="H106" s="184">
        <f t="shared" si="25"/>
        <v>17.534722508656106</v>
      </c>
      <c r="I106" s="184">
        <f t="shared" si="20"/>
        <v>12.581896396484561</v>
      </c>
      <c r="J106" s="185">
        <f t="shared" si="2"/>
        <v>842.98705856446554</v>
      </c>
      <c r="K106" s="186">
        <f t="shared" si="30"/>
        <v>1174.826408079959</v>
      </c>
      <c r="L106" s="187">
        <f>+J106-K106</f>
        <v>-331.8393495154935</v>
      </c>
      <c r="M106" s="188">
        <f t="shared" si="26"/>
        <v>-27.227426498513438</v>
      </c>
      <c r="N106" s="189">
        <f t="shared" si="27"/>
        <v>-359.0667760140069</v>
      </c>
      <c r="O106" s="188">
        <v>0</v>
      </c>
      <c r="P106" s="188">
        <v>0</v>
      </c>
      <c r="Q106" s="188">
        <v>0</v>
      </c>
      <c r="R106" s="189">
        <f t="shared" si="28"/>
        <v>-359.0667760140069</v>
      </c>
    </row>
    <row r="107" spans="1:18" x14ac:dyDescent="0.25">
      <c r="A107" s="110">
        <v>4</v>
      </c>
      <c r="B107" s="181">
        <f t="shared" si="4"/>
        <v>45017</v>
      </c>
      <c r="C107" s="201">
        <f t="shared" si="32"/>
        <v>45049</v>
      </c>
      <c r="D107" s="201">
        <f t="shared" si="32"/>
        <v>45070</v>
      </c>
      <c r="E107" s="52" t="s">
        <v>19</v>
      </c>
      <c r="F107" s="146">
        <v>9</v>
      </c>
      <c r="G107" s="183">
        <v>62</v>
      </c>
      <c r="H107" s="184">
        <f t="shared" si="25"/>
        <v>17.534722508656106</v>
      </c>
      <c r="I107" s="184">
        <f t="shared" si="20"/>
        <v>12.581896396484561</v>
      </c>
      <c r="J107" s="185">
        <f t="shared" si="2"/>
        <v>780.07757658204275</v>
      </c>
      <c r="K107" s="186">
        <f t="shared" si="30"/>
        <v>1087.1527955366785</v>
      </c>
      <c r="L107" s="187">
        <f t="shared" ref="L107:L115" si="33">+J107-K107</f>
        <v>-307.07521895463572</v>
      </c>
      <c r="M107" s="188">
        <f t="shared" si="26"/>
        <v>-25.195528998624376</v>
      </c>
      <c r="N107" s="189">
        <f t="shared" si="27"/>
        <v>-332.27074795326007</v>
      </c>
      <c r="O107" s="188">
        <v>0</v>
      </c>
      <c r="P107" s="188">
        <v>0</v>
      </c>
      <c r="Q107" s="188">
        <v>0</v>
      </c>
      <c r="R107" s="189">
        <f t="shared" si="28"/>
        <v>-332.27074795326007</v>
      </c>
    </row>
    <row r="108" spans="1:18" x14ac:dyDescent="0.25">
      <c r="A108" s="146">
        <v>5</v>
      </c>
      <c r="B108" s="181">
        <f t="shared" si="4"/>
        <v>45047</v>
      </c>
      <c r="C108" s="201">
        <f t="shared" si="32"/>
        <v>45082</v>
      </c>
      <c r="D108" s="201">
        <f t="shared" si="32"/>
        <v>45103</v>
      </c>
      <c r="E108" s="52" t="s">
        <v>19</v>
      </c>
      <c r="F108" s="146">
        <v>9</v>
      </c>
      <c r="G108" s="183">
        <v>51</v>
      </c>
      <c r="H108" s="184">
        <f t="shared" si="25"/>
        <v>17.534722508656106</v>
      </c>
      <c r="I108" s="184">
        <f t="shared" ref="I108:I127" si="34">$J$3</f>
        <v>12.581896396484561</v>
      </c>
      <c r="J108" s="185">
        <f t="shared" si="2"/>
        <v>641.67671622071259</v>
      </c>
      <c r="K108" s="186">
        <f t="shared" si="30"/>
        <v>894.2708479414614</v>
      </c>
      <c r="L108" s="187">
        <f t="shared" si="33"/>
        <v>-252.59413172074881</v>
      </c>
      <c r="M108" s="188">
        <f t="shared" si="26"/>
        <v>-20.725354498868438</v>
      </c>
      <c r="N108" s="189">
        <f t="shared" si="27"/>
        <v>-273.31948621961726</v>
      </c>
      <c r="O108" s="188">
        <v>0</v>
      </c>
      <c r="P108" s="188">
        <v>0</v>
      </c>
      <c r="Q108" s="188">
        <v>0</v>
      </c>
      <c r="R108" s="189">
        <f t="shared" si="28"/>
        <v>-273.31948621961726</v>
      </c>
    </row>
    <row r="109" spans="1:18" x14ac:dyDescent="0.25">
      <c r="A109" s="146">
        <v>6</v>
      </c>
      <c r="B109" s="181">
        <f t="shared" ref="B109:B148" si="35">DATE($R$1,A109,1)</f>
        <v>45078</v>
      </c>
      <c r="C109" s="201">
        <f t="shared" si="32"/>
        <v>45112</v>
      </c>
      <c r="D109" s="201">
        <f t="shared" si="32"/>
        <v>45131</v>
      </c>
      <c r="E109" s="52" t="s">
        <v>19</v>
      </c>
      <c r="F109" s="146">
        <v>9</v>
      </c>
      <c r="G109" s="183">
        <v>67</v>
      </c>
      <c r="H109" s="184">
        <f t="shared" si="25"/>
        <v>17.534722508656106</v>
      </c>
      <c r="I109" s="184">
        <f t="shared" si="34"/>
        <v>12.581896396484561</v>
      </c>
      <c r="J109" s="185">
        <f t="shared" ref="J109:J148" si="36">+$G109*I109</f>
        <v>842.98705856446554</v>
      </c>
      <c r="K109" s="186">
        <f t="shared" si="30"/>
        <v>1174.826408079959</v>
      </c>
      <c r="L109" s="191">
        <f t="shared" si="33"/>
        <v>-331.8393495154935</v>
      </c>
      <c r="M109" s="188">
        <f t="shared" si="26"/>
        <v>-27.227426498513438</v>
      </c>
      <c r="N109" s="189">
        <f t="shared" si="27"/>
        <v>-359.0667760140069</v>
      </c>
      <c r="O109" s="188">
        <v>0</v>
      </c>
      <c r="P109" s="188">
        <v>0</v>
      </c>
      <c r="Q109" s="188">
        <v>0</v>
      </c>
      <c r="R109" s="189">
        <f t="shared" si="28"/>
        <v>-359.0667760140069</v>
      </c>
    </row>
    <row r="110" spans="1:18" x14ac:dyDescent="0.25">
      <c r="A110" s="110">
        <v>7</v>
      </c>
      <c r="B110" s="181">
        <f t="shared" si="35"/>
        <v>45108</v>
      </c>
      <c r="C110" s="201">
        <f t="shared" si="32"/>
        <v>45141</v>
      </c>
      <c r="D110" s="201">
        <f t="shared" si="32"/>
        <v>45162</v>
      </c>
      <c r="E110" s="52" t="s">
        <v>19</v>
      </c>
      <c r="F110" s="146">
        <v>9</v>
      </c>
      <c r="G110" s="183">
        <v>66</v>
      </c>
      <c r="H110" s="184">
        <f t="shared" si="25"/>
        <v>17.534722508656106</v>
      </c>
      <c r="I110" s="184">
        <f t="shared" si="34"/>
        <v>12.581896396484561</v>
      </c>
      <c r="J110" s="185">
        <f t="shared" si="36"/>
        <v>830.40516216798108</v>
      </c>
      <c r="K110" s="192">
        <f t="shared" si="30"/>
        <v>1157.2916855713031</v>
      </c>
      <c r="L110" s="191">
        <f t="shared" si="33"/>
        <v>-326.88652340332203</v>
      </c>
      <c r="M110" s="188">
        <f t="shared" si="26"/>
        <v>-26.821046998535628</v>
      </c>
      <c r="N110" s="189">
        <f t="shared" si="27"/>
        <v>-353.70757040185765</v>
      </c>
      <c r="O110" s="188">
        <v>0</v>
      </c>
      <c r="P110" s="188">
        <v>0</v>
      </c>
      <c r="Q110" s="188">
        <v>0</v>
      </c>
      <c r="R110" s="189">
        <f t="shared" si="28"/>
        <v>-353.70757040185765</v>
      </c>
    </row>
    <row r="111" spans="1:18" x14ac:dyDescent="0.25">
      <c r="A111" s="146">
        <v>8</v>
      </c>
      <c r="B111" s="181">
        <f t="shared" si="35"/>
        <v>45139</v>
      </c>
      <c r="C111" s="201">
        <f t="shared" si="32"/>
        <v>45174</v>
      </c>
      <c r="D111" s="201">
        <f t="shared" si="32"/>
        <v>45194</v>
      </c>
      <c r="E111" s="52" t="s">
        <v>19</v>
      </c>
      <c r="F111" s="146">
        <v>9</v>
      </c>
      <c r="G111" s="183">
        <v>61</v>
      </c>
      <c r="H111" s="184">
        <f t="shared" si="25"/>
        <v>17.534722508656106</v>
      </c>
      <c r="I111" s="184">
        <f t="shared" si="34"/>
        <v>12.581896396484561</v>
      </c>
      <c r="J111" s="185">
        <f t="shared" si="36"/>
        <v>767.49568018555829</v>
      </c>
      <c r="K111" s="192">
        <f t="shared" si="30"/>
        <v>1069.6180730280225</v>
      </c>
      <c r="L111" s="191">
        <f t="shared" si="33"/>
        <v>-302.12239284246425</v>
      </c>
      <c r="M111" s="188">
        <f t="shared" si="26"/>
        <v>-24.789149498646562</v>
      </c>
      <c r="N111" s="189">
        <f t="shared" si="27"/>
        <v>-326.91154234111082</v>
      </c>
      <c r="O111" s="188">
        <v>0</v>
      </c>
      <c r="P111" s="188">
        <v>0</v>
      </c>
      <c r="Q111" s="188">
        <v>0</v>
      </c>
      <c r="R111" s="189">
        <f t="shared" si="28"/>
        <v>-326.91154234111082</v>
      </c>
    </row>
    <row r="112" spans="1:18" x14ac:dyDescent="0.25">
      <c r="A112" s="146">
        <v>9</v>
      </c>
      <c r="B112" s="181">
        <f t="shared" si="35"/>
        <v>45170</v>
      </c>
      <c r="C112" s="201">
        <f t="shared" si="32"/>
        <v>45203</v>
      </c>
      <c r="D112" s="201">
        <f t="shared" si="32"/>
        <v>45223</v>
      </c>
      <c r="E112" s="52" t="s">
        <v>19</v>
      </c>
      <c r="F112" s="146">
        <v>9</v>
      </c>
      <c r="G112" s="183">
        <v>55</v>
      </c>
      <c r="H112" s="184">
        <f t="shared" si="25"/>
        <v>17.534722508656106</v>
      </c>
      <c r="I112" s="184">
        <f t="shared" si="34"/>
        <v>12.581896396484561</v>
      </c>
      <c r="J112" s="185">
        <f t="shared" si="36"/>
        <v>692.00430180665091</v>
      </c>
      <c r="K112" s="192">
        <f t="shared" si="30"/>
        <v>964.40973797608581</v>
      </c>
      <c r="L112" s="191">
        <f t="shared" si="33"/>
        <v>-272.40543616943489</v>
      </c>
      <c r="M112" s="188">
        <f t="shared" si="26"/>
        <v>-22.35087249877969</v>
      </c>
      <c r="N112" s="189">
        <f t="shared" si="27"/>
        <v>-294.75630866821456</v>
      </c>
      <c r="O112" s="188">
        <v>0</v>
      </c>
      <c r="P112" s="188">
        <v>0</v>
      </c>
      <c r="Q112" s="188">
        <v>0</v>
      </c>
      <c r="R112" s="189">
        <f t="shared" si="28"/>
        <v>-294.75630866821456</v>
      </c>
    </row>
    <row r="113" spans="1:18" x14ac:dyDescent="0.25">
      <c r="A113" s="110">
        <v>10</v>
      </c>
      <c r="B113" s="181">
        <f t="shared" si="35"/>
        <v>45200</v>
      </c>
      <c r="C113" s="201">
        <f t="shared" si="32"/>
        <v>45233</v>
      </c>
      <c r="D113" s="201">
        <f t="shared" si="32"/>
        <v>45254</v>
      </c>
      <c r="E113" s="52" t="s">
        <v>19</v>
      </c>
      <c r="F113" s="146">
        <v>9</v>
      </c>
      <c r="G113" s="183">
        <v>59</v>
      </c>
      <c r="H113" s="184">
        <f t="shared" si="25"/>
        <v>17.534722508656106</v>
      </c>
      <c r="I113" s="184">
        <f t="shared" si="34"/>
        <v>12.581896396484561</v>
      </c>
      <c r="J113" s="185">
        <f t="shared" si="36"/>
        <v>742.33188739258912</v>
      </c>
      <c r="K113" s="192">
        <f t="shared" si="30"/>
        <v>1034.5486280107102</v>
      </c>
      <c r="L113" s="191">
        <f t="shared" si="33"/>
        <v>-292.21674061812109</v>
      </c>
      <c r="M113" s="188">
        <f t="shared" si="26"/>
        <v>-23.97639049869094</v>
      </c>
      <c r="N113" s="189">
        <f t="shared" si="27"/>
        <v>-316.19313111681203</v>
      </c>
      <c r="O113" s="188">
        <v>0</v>
      </c>
      <c r="P113" s="188">
        <v>0</v>
      </c>
      <c r="Q113" s="188">
        <v>0</v>
      </c>
      <c r="R113" s="189">
        <f t="shared" si="28"/>
        <v>-316.19313111681203</v>
      </c>
    </row>
    <row r="114" spans="1:18" x14ac:dyDescent="0.25">
      <c r="A114" s="146">
        <v>11</v>
      </c>
      <c r="B114" s="181">
        <f t="shared" si="35"/>
        <v>45231</v>
      </c>
      <c r="C114" s="201">
        <f t="shared" si="32"/>
        <v>45266</v>
      </c>
      <c r="D114" s="201">
        <f t="shared" si="32"/>
        <v>45285</v>
      </c>
      <c r="E114" s="52" t="s">
        <v>19</v>
      </c>
      <c r="F114" s="146">
        <v>9</v>
      </c>
      <c r="G114" s="183">
        <v>63</v>
      </c>
      <c r="H114" s="184">
        <f t="shared" si="25"/>
        <v>17.534722508656106</v>
      </c>
      <c r="I114" s="184">
        <f t="shared" si="34"/>
        <v>12.581896396484561</v>
      </c>
      <c r="J114" s="185">
        <f t="shared" si="36"/>
        <v>792.65947297852733</v>
      </c>
      <c r="K114" s="192">
        <f t="shared" si="30"/>
        <v>1104.6875180453346</v>
      </c>
      <c r="L114" s="191">
        <f t="shared" si="33"/>
        <v>-312.02804506680729</v>
      </c>
      <c r="M114" s="188">
        <f t="shared" si="26"/>
        <v>-25.601908498602185</v>
      </c>
      <c r="N114" s="189">
        <f t="shared" si="27"/>
        <v>-337.62995356540949</v>
      </c>
      <c r="O114" s="188">
        <v>0</v>
      </c>
      <c r="P114" s="188">
        <v>0</v>
      </c>
      <c r="Q114" s="188">
        <v>0</v>
      </c>
      <c r="R114" s="189">
        <f t="shared" si="28"/>
        <v>-337.62995356540949</v>
      </c>
    </row>
    <row r="115" spans="1:18" s="205" customFormat="1" x14ac:dyDescent="0.25">
      <c r="A115" s="146">
        <v>12</v>
      </c>
      <c r="B115" s="203">
        <f t="shared" si="35"/>
        <v>45261</v>
      </c>
      <c r="C115" s="206">
        <f t="shared" si="32"/>
        <v>45294</v>
      </c>
      <c r="D115" s="206">
        <f t="shared" si="32"/>
        <v>45315</v>
      </c>
      <c r="E115" s="204" t="s">
        <v>19</v>
      </c>
      <c r="F115" s="157">
        <v>9</v>
      </c>
      <c r="G115" s="183">
        <v>63</v>
      </c>
      <c r="H115" s="193">
        <f t="shared" si="25"/>
        <v>17.534722508656106</v>
      </c>
      <c r="I115" s="193">
        <f t="shared" si="34"/>
        <v>12.581896396484561</v>
      </c>
      <c r="J115" s="194">
        <f t="shared" si="36"/>
        <v>792.65947297852733</v>
      </c>
      <c r="K115" s="195">
        <f t="shared" si="30"/>
        <v>1104.6875180453346</v>
      </c>
      <c r="L115" s="196">
        <f t="shared" si="33"/>
        <v>-312.02804506680729</v>
      </c>
      <c r="M115" s="188">
        <f t="shared" si="26"/>
        <v>-25.601908498602185</v>
      </c>
      <c r="N115" s="189">
        <f t="shared" si="27"/>
        <v>-337.62995356540949</v>
      </c>
      <c r="O115" s="188">
        <v>0</v>
      </c>
      <c r="P115" s="188">
        <v>0</v>
      </c>
      <c r="Q115" s="188">
        <v>0</v>
      </c>
      <c r="R115" s="189">
        <f t="shared" si="28"/>
        <v>-337.62995356540949</v>
      </c>
    </row>
    <row r="116" spans="1:18" x14ac:dyDescent="0.25">
      <c r="A116" s="110">
        <v>1</v>
      </c>
      <c r="B116" s="181">
        <f t="shared" si="35"/>
        <v>44927</v>
      </c>
      <c r="C116" s="201">
        <f t="shared" si="32"/>
        <v>44960</v>
      </c>
      <c r="D116" s="201">
        <f t="shared" si="32"/>
        <v>44981</v>
      </c>
      <c r="E116" s="182" t="s">
        <v>13</v>
      </c>
      <c r="F116" s="110">
        <v>9</v>
      </c>
      <c r="G116" s="183">
        <v>967</v>
      </c>
      <c r="H116" s="184">
        <f t="shared" si="25"/>
        <v>17.534722508656106</v>
      </c>
      <c r="I116" s="184">
        <f t="shared" si="34"/>
        <v>12.581896396484561</v>
      </c>
      <c r="J116" s="185">
        <f t="shared" si="36"/>
        <v>12166.693815400571</v>
      </c>
      <c r="K116" s="186">
        <f t="shared" si="30"/>
        <v>16956.076665870456</v>
      </c>
      <c r="L116" s="187">
        <f>+J116-K116</f>
        <v>-4789.3828504698849</v>
      </c>
      <c r="M116" s="188">
        <f t="shared" si="26"/>
        <v>-392.96897647854468</v>
      </c>
      <c r="N116" s="189">
        <f t="shared" si="27"/>
        <v>-5182.3518269484293</v>
      </c>
      <c r="O116" s="188">
        <v>0</v>
      </c>
      <c r="P116" s="188">
        <v>0</v>
      </c>
      <c r="Q116" s="188">
        <v>0</v>
      </c>
      <c r="R116" s="189">
        <f t="shared" si="28"/>
        <v>-5182.3518269484293</v>
      </c>
    </row>
    <row r="117" spans="1:18" x14ac:dyDescent="0.25">
      <c r="A117" s="146">
        <v>2</v>
      </c>
      <c r="B117" s="181">
        <f t="shared" si="35"/>
        <v>44958</v>
      </c>
      <c r="C117" s="201">
        <f t="shared" ref="C117:D139" si="37">+C105</f>
        <v>44988</v>
      </c>
      <c r="D117" s="201">
        <f t="shared" si="37"/>
        <v>45009</v>
      </c>
      <c r="E117" s="190" t="s">
        <v>13</v>
      </c>
      <c r="F117" s="146">
        <v>9</v>
      </c>
      <c r="G117" s="183">
        <v>955</v>
      </c>
      <c r="H117" s="184">
        <f t="shared" si="25"/>
        <v>17.534722508656106</v>
      </c>
      <c r="I117" s="184">
        <f t="shared" si="34"/>
        <v>12.581896396484561</v>
      </c>
      <c r="J117" s="185">
        <f t="shared" si="36"/>
        <v>12015.711058642755</v>
      </c>
      <c r="K117" s="186">
        <f t="shared" si="30"/>
        <v>16745.659995766582</v>
      </c>
      <c r="L117" s="187">
        <f>+J117-K117</f>
        <v>-4729.9489371238269</v>
      </c>
      <c r="M117" s="188">
        <f t="shared" si="26"/>
        <v>-388.09242247881099</v>
      </c>
      <c r="N117" s="189">
        <f t="shared" si="27"/>
        <v>-5118.0413596026383</v>
      </c>
      <c r="O117" s="188">
        <v>0</v>
      </c>
      <c r="P117" s="188">
        <v>0</v>
      </c>
      <c r="Q117" s="188">
        <v>0</v>
      </c>
      <c r="R117" s="189">
        <f t="shared" si="28"/>
        <v>-5118.0413596026383</v>
      </c>
    </row>
    <row r="118" spans="1:18" x14ac:dyDescent="0.25">
      <c r="A118" s="146">
        <v>3</v>
      </c>
      <c r="B118" s="181">
        <f t="shared" si="35"/>
        <v>44986</v>
      </c>
      <c r="C118" s="201">
        <f t="shared" si="37"/>
        <v>45021</v>
      </c>
      <c r="D118" s="201">
        <f t="shared" si="37"/>
        <v>45040</v>
      </c>
      <c r="E118" s="190" t="s">
        <v>13</v>
      </c>
      <c r="F118" s="146">
        <v>9</v>
      </c>
      <c r="G118" s="183">
        <v>872</v>
      </c>
      <c r="H118" s="184">
        <f t="shared" si="25"/>
        <v>17.534722508656106</v>
      </c>
      <c r="I118" s="184">
        <f t="shared" si="34"/>
        <v>12.581896396484561</v>
      </c>
      <c r="J118" s="185">
        <f t="shared" si="36"/>
        <v>10971.413657734538</v>
      </c>
      <c r="K118" s="186">
        <f t="shared" si="30"/>
        <v>15290.278027548124</v>
      </c>
      <c r="L118" s="187">
        <f>+J118-K118</f>
        <v>-4318.8643698135857</v>
      </c>
      <c r="M118" s="188">
        <f t="shared" si="26"/>
        <v>-354.36292398065251</v>
      </c>
      <c r="N118" s="189">
        <f t="shared" si="27"/>
        <v>-4673.227293794238</v>
      </c>
      <c r="O118" s="188">
        <v>0</v>
      </c>
      <c r="P118" s="188">
        <v>0</v>
      </c>
      <c r="Q118" s="188">
        <v>0</v>
      </c>
      <c r="R118" s="189">
        <f t="shared" si="28"/>
        <v>-4673.227293794238</v>
      </c>
    </row>
    <row r="119" spans="1:18" x14ac:dyDescent="0.25">
      <c r="A119" s="110">
        <v>4</v>
      </c>
      <c r="B119" s="181">
        <f t="shared" si="35"/>
        <v>45017</v>
      </c>
      <c r="C119" s="201">
        <f t="shared" si="37"/>
        <v>45049</v>
      </c>
      <c r="D119" s="201">
        <f t="shared" si="37"/>
        <v>45070</v>
      </c>
      <c r="E119" s="52" t="s">
        <v>13</v>
      </c>
      <c r="F119" s="146">
        <v>9</v>
      </c>
      <c r="G119" s="183">
        <v>602</v>
      </c>
      <c r="H119" s="184">
        <f t="shared" si="25"/>
        <v>17.534722508656106</v>
      </c>
      <c r="I119" s="184">
        <f t="shared" si="34"/>
        <v>12.581896396484561</v>
      </c>
      <c r="J119" s="185">
        <f t="shared" si="36"/>
        <v>7574.3016306837062</v>
      </c>
      <c r="K119" s="186">
        <f t="shared" si="30"/>
        <v>10555.902950210975</v>
      </c>
      <c r="L119" s="187">
        <f t="shared" ref="L119:L127" si="38">+J119-K119</f>
        <v>-2981.601319527269</v>
      </c>
      <c r="M119" s="188">
        <f t="shared" si="26"/>
        <v>-244.64045898664313</v>
      </c>
      <c r="N119" s="189">
        <f t="shared" si="27"/>
        <v>-3226.2417785139123</v>
      </c>
      <c r="O119" s="188">
        <v>0</v>
      </c>
      <c r="P119" s="188">
        <v>0</v>
      </c>
      <c r="Q119" s="188">
        <v>0</v>
      </c>
      <c r="R119" s="189">
        <f t="shared" si="28"/>
        <v>-3226.2417785139123</v>
      </c>
    </row>
    <row r="120" spans="1:18" x14ac:dyDescent="0.25">
      <c r="A120" s="146">
        <v>5</v>
      </c>
      <c r="B120" s="181">
        <f t="shared" si="35"/>
        <v>45047</v>
      </c>
      <c r="C120" s="201">
        <f t="shared" si="37"/>
        <v>45082</v>
      </c>
      <c r="D120" s="201">
        <f t="shared" si="37"/>
        <v>45103</v>
      </c>
      <c r="E120" s="52" t="s">
        <v>13</v>
      </c>
      <c r="F120" s="146">
        <v>9</v>
      </c>
      <c r="G120" s="183">
        <v>711</v>
      </c>
      <c r="H120" s="184">
        <f t="shared" si="25"/>
        <v>17.534722508656106</v>
      </c>
      <c r="I120" s="184">
        <f t="shared" si="34"/>
        <v>12.581896396484561</v>
      </c>
      <c r="J120" s="185">
        <f t="shared" si="36"/>
        <v>8945.7283379005221</v>
      </c>
      <c r="K120" s="186">
        <f t="shared" si="30"/>
        <v>12467.187703654492</v>
      </c>
      <c r="L120" s="187">
        <f t="shared" si="38"/>
        <v>-3521.4593657539699</v>
      </c>
      <c r="M120" s="188">
        <f t="shared" si="26"/>
        <v>-288.93582448422467</v>
      </c>
      <c r="N120" s="189">
        <f t="shared" si="27"/>
        <v>-3810.3951902381946</v>
      </c>
      <c r="O120" s="188">
        <v>0</v>
      </c>
      <c r="P120" s="188">
        <v>0</v>
      </c>
      <c r="Q120" s="188">
        <v>0</v>
      </c>
      <c r="R120" s="189">
        <f t="shared" si="28"/>
        <v>-3810.3951902381946</v>
      </c>
    </row>
    <row r="121" spans="1:18" x14ac:dyDescent="0.25">
      <c r="A121" s="146">
        <v>6</v>
      </c>
      <c r="B121" s="181">
        <f t="shared" si="35"/>
        <v>45078</v>
      </c>
      <c r="C121" s="201">
        <f t="shared" si="37"/>
        <v>45112</v>
      </c>
      <c r="D121" s="201">
        <f t="shared" si="37"/>
        <v>45131</v>
      </c>
      <c r="E121" s="52" t="s">
        <v>13</v>
      </c>
      <c r="F121" s="146">
        <v>9</v>
      </c>
      <c r="G121" s="183">
        <v>936</v>
      </c>
      <c r="H121" s="184">
        <f t="shared" si="25"/>
        <v>17.534722508656106</v>
      </c>
      <c r="I121" s="184">
        <f t="shared" si="34"/>
        <v>12.581896396484561</v>
      </c>
      <c r="J121" s="185">
        <f t="shared" si="36"/>
        <v>11776.655027109549</v>
      </c>
      <c r="K121" s="186">
        <f t="shared" si="30"/>
        <v>16412.500268102114</v>
      </c>
      <c r="L121" s="191">
        <f t="shared" si="38"/>
        <v>-4635.8452409925649</v>
      </c>
      <c r="M121" s="188">
        <f t="shared" si="26"/>
        <v>-380.37121197923256</v>
      </c>
      <c r="N121" s="189">
        <f t="shared" si="27"/>
        <v>-5016.2164529717975</v>
      </c>
      <c r="O121" s="188">
        <v>0</v>
      </c>
      <c r="P121" s="188">
        <v>0</v>
      </c>
      <c r="Q121" s="188">
        <v>0</v>
      </c>
      <c r="R121" s="189">
        <f t="shared" si="28"/>
        <v>-5016.2164529717975</v>
      </c>
    </row>
    <row r="122" spans="1:18" x14ac:dyDescent="0.25">
      <c r="A122" s="110">
        <v>7</v>
      </c>
      <c r="B122" s="181">
        <f t="shared" si="35"/>
        <v>45108</v>
      </c>
      <c r="C122" s="201">
        <f t="shared" si="37"/>
        <v>45141</v>
      </c>
      <c r="D122" s="201">
        <f t="shared" si="37"/>
        <v>45162</v>
      </c>
      <c r="E122" s="52" t="s">
        <v>13</v>
      </c>
      <c r="F122" s="146">
        <v>9</v>
      </c>
      <c r="G122" s="183">
        <v>932</v>
      </c>
      <c r="H122" s="184">
        <f t="shared" si="25"/>
        <v>17.534722508656106</v>
      </c>
      <c r="I122" s="184">
        <f t="shared" si="34"/>
        <v>12.581896396484561</v>
      </c>
      <c r="J122" s="185">
        <f t="shared" si="36"/>
        <v>11726.32744152361</v>
      </c>
      <c r="K122" s="192">
        <f t="shared" si="30"/>
        <v>16342.361378067491</v>
      </c>
      <c r="L122" s="191">
        <f t="shared" si="38"/>
        <v>-4616.0339365438813</v>
      </c>
      <c r="M122" s="188">
        <f t="shared" si="26"/>
        <v>-378.74569397932129</v>
      </c>
      <c r="N122" s="189">
        <f t="shared" si="27"/>
        <v>-4994.7796305232023</v>
      </c>
      <c r="O122" s="188">
        <v>0</v>
      </c>
      <c r="P122" s="188">
        <v>0</v>
      </c>
      <c r="Q122" s="188">
        <v>0</v>
      </c>
      <c r="R122" s="189">
        <f t="shared" si="28"/>
        <v>-4994.7796305232023</v>
      </c>
    </row>
    <row r="123" spans="1:18" x14ac:dyDescent="0.25">
      <c r="A123" s="146">
        <v>8</v>
      </c>
      <c r="B123" s="181">
        <f t="shared" si="35"/>
        <v>45139</v>
      </c>
      <c r="C123" s="201">
        <f t="shared" si="37"/>
        <v>45174</v>
      </c>
      <c r="D123" s="201">
        <f t="shared" si="37"/>
        <v>45194</v>
      </c>
      <c r="E123" s="52" t="s">
        <v>13</v>
      </c>
      <c r="F123" s="146">
        <v>9</v>
      </c>
      <c r="G123" s="183">
        <v>1025</v>
      </c>
      <c r="H123" s="184">
        <f t="shared" si="25"/>
        <v>17.534722508656106</v>
      </c>
      <c r="I123" s="184">
        <f t="shared" si="34"/>
        <v>12.581896396484561</v>
      </c>
      <c r="J123" s="185">
        <f t="shared" si="36"/>
        <v>12896.443806396675</v>
      </c>
      <c r="K123" s="192">
        <f t="shared" si="30"/>
        <v>17973.090571372508</v>
      </c>
      <c r="L123" s="191">
        <f t="shared" si="38"/>
        <v>-5076.6467649758324</v>
      </c>
      <c r="M123" s="188">
        <f t="shared" si="26"/>
        <v>-416.53898747725782</v>
      </c>
      <c r="N123" s="189">
        <f t="shared" si="27"/>
        <v>-5493.1857524530906</v>
      </c>
      <c r="O123" s="188">
        <v>0</v>
      </c>
      <c r="P123" s="188">
        <v>0</v>
      </c>
      <c r="Q123" s="188">
        <v>0</v>
      </c>
      <c r="R123" s="189">
        <f t="shared" si="28"/>
        <v>-5493.1857524530906</v>
      </c>
    </row>
    <row r="124" spans="1:18" x14ac:dyDescent="0.25">
      <c r="A124" s="146">
        <v>9</v>
      </c>
      <c r="B124" s="181">
        <f t="shared" si="35"/>
        <v>45170</v>
      </c>
      <c r="C124" s="201">
        <f t="shared" si="37"/>
        <v>45203</v>
      </c>
      <c r="D124" s="201">
        <f t="shared" si="37"/>
        <v>45223</v>
      </c>
      <c r="E124" s="52" t="s">
        <v>13</v>
      </c>
      <c r="F124" s="146">
        <v>9</v>
      </c>
      <c r="G124" s="183">
        <v>934</v>
      </c>
      <c r="H124" s="184">
        <f t="shared" si="25"/>
        <v>17.534722508656106</v>
      </c>
      <c r="I124" s="184">
        <f t="shared" si="34"/>
        <v>12.581896396484561</v>
      </c>
      <c r="J124" s="185">
        <f t="shared" si="36"/>
        <v>11751.49123431658</v>
      </c>
      <c r="K124" s="192">
        <f t="shared" si="30"/>
        <v>16377.430823084804</v>
      </c>
      <c r="L124" s="191">
        <f t="shared" si="38"/>
        <v>-4625.939588768224</v>
      </c>
      <c r="M124" s="188">
        <f t="shared" si="26"/>
        <v>-379.55845297927686</v>
      </c>
      <c r="N124" s="189">
        <f t="shared" si="27"/>
        <v>-5005.4980417475008</v>
      </c>
      <c r="O124" s="188">
        <v>0</v>
      </c>
      <c r="P124" s="188">
        <v>0</v>
      </c>
      <c r="Q124" s="188">
        <v>0</v>
      </c>
      <c r="R124" s="189">
        <f t="shared" si="28"/>
        <v>-5005.4980417475008</v>
      </c>
    </row>
    <row r="125" spans="1:18" x14ac:dyDescent="0.25">
      <c r="A125" s="110">
        <v>10</v>
      </c>
      <c r="B125" s="181">
        <f t="shared" si="35"/>
        <v>45200</v>
      </c>
      <c r="C125" s="201">
        <f t="shared" si="37"/>
        <v>45233</v>
      </c>
      <c r="D125" s="201">
        <f t="shared" si="37"/>
        <v>45254</v>
      </c>
      <c r="E125" s="52" t="s">
        <v>13</v>
      </c>
      <c r="F125" s="146">
        <v>9</v>
      </c>
      <c r="G125" s="183">
        <v>700</v>
      </c>
      <c r="H125" s="184">
        <f t="shared" si="25"/>
        <v>17.534722508656106</v>
      </c>
      <c r="I125" s="184">
        <f t="shared" si="34"/>
        <v>12.581896396484561</v>
      </c>
      <c r="J125" s="185">
        <f t="shared" si="36"/>
        <v>8807.3274775391928</v>
      </c>
      <c r="K125" s="192">
        <f t="shared" si="30"/>
        <v>12274.305756059273</v>
      </c>
      <c r="L125" s="191">
        <f t="shared" si="38"/>
        <v>-3466.9782785200805</v>
      </c>
      <c r="M125" s="188">
        <f t="shared" si="26"/>
        <v>-284.46564998446877</v>
      </c>
      <c r="N125" s="189">
        <f t="shared" si="27"/>
        <v>-3751.4439285045491</v>
      </c>
      <c r="O125" s="188">
        <v>0</v>
      </c>
      <c r="P125" s="188">
        <v>0</v>
      </c>
      <c r="Q125" s="188">
        <v>0</v>
      </c>
      <c r="R125" s="189">
        <f t="shared" si="28"/>
        <v>-3751.4439285045491</v>
      </c>
    </row>
    <row r="126" spans="1:18" x14ac:dyDescent="0.25">
      <c r="A126" s="146">
        <v>11</v>
      </c>
      <c r="B126" s="181">
        <f t="shared" si="35"/>
        <v>45231</v>
      </c>
      <c r="C126" s="201">
        <f t="shared" si="37"/>
        <v>45266</v>
      </c>
      <c r="D126" s="201">
        <f t="shared" si="37"/>
        <v>45285</v>
      </c>
      <c r="E126" s="52" t="s">
        <v>13</v>
      </c>
      <c r="F126" s="146">
        <v>9</v>
      </c>
      <c r="G126" s="183">
        <v>867</v>
      </c>
      <c r="H126" s="184">
        <f t="shared" si="25"/>
        <v>17.534722508656106</v>
      </c>
      <c r="I126" s="184">
        <f t="shared" si="34"/>
        <v>12.581896396484561</v>
      </c>
      <c r="J126" s="185">
        <f t="shared" si="36"/>
        <v>10908.504175752114</v>
      </c>
      <c r="K126" s="192">
        <f t="shared" si="30"/>
        <v>15202.604415004844</v>
      </c>
      <c r="L126" s="191">
        <f t="shared" si="38"/>
        <v>-4294.1002392527298</v>
      </c>
      <c r="M126" s="188">
        <f t="shared" si="26"/>
        <v>-352.33102648076346</v>
      </c>
      <c r="N126" s="189">
        <f t="shared" si="27"/>
        <v>-4646.4312657334931</v>
      </c>
      <c r="O126" s="188">
        <v>0</v>
      </c>
      <c r="P126" s="188">
        <v>0</v>
      </c>
      <c r="Q126" s="188">
        <v>0</v>
      </c>
      <c r="R126" s="189">
        <f t="shared" si="28"/>
        <v>-4646.4312657334931</v>
      </c>
    </row>
    <row r="127" spans="1:18" s="205" customFormat="1" x14ac:dyDescent="0.25">
      <c r="A127" s="146">
        <v>12</v>
      </c>
      <c r="B127" s="203">
        <f t="shared" si="35"/>
        <v>45261</v>
      </c>
      <c r="C127" s="206">
        <f t="shared" si="37"/>
        <v>45294</v>
      </c>
      <c r="D127" s="206">
        <f t="shared" si="37"/>
        <v>45315</v>
      </c>
      <c r="E127" s="204" t="s">
        <v>13</v>
      </c>
      <c r="F127" s="157">
        <v>9</v>
      </c>
      <c r="G127" s="183">
        <v>916</v>
      </c>
      <c r="H127" s="193">
        <f t="shared" si="25"/>
        <v>17.534722508656106</v>
      </c>
      <c r="I127" s="193">
        <f t="shared" si="34"/>
        <v>12.581896396484561</v>
      </c>
      <c r="J127" s="194">
        <f t="shared" si="36"/>
        <v>11525.017099179859</v>
      </c>
      <c r="K127" s="195">
        <f t="shared" si="30"/>
        <v>16061.805817928993</v>
      </c>
      <c r="L127" s="196">
        <f t="shared" si="38"/>
        <v>-4536.7887187491342</v>
      </c>
      <c r="M127" s="188">
        <f t="shared" si="26"/>
        <v>-372.24362197967628</v>
      </c>
      <c r="N127" s="189">
        <f t="shared" si="27"/>
        <v>-4909.0323407288106</v>
      </c>
      <c r="O127" s="188">
        <v>0</v>
      </c>
      <c r="P127" s="188">
        <v>0</v>
      </c>
      <c r="Q127" s="188">
        <v>0</v>
      </c>
      <c r="R127" s="189">
        <f t="shared" si="28"/>
        <v>-4909.0323407288106</v>
      </c>
    </row>
    <row r="128" spans="1:18" x14ac:dyDescent="0.25">
      <c r="A128" s="110">
        <v>1</v>
      </c>
      <c r="B128" s="181">
        <f t="shared" si="35"/>
        <v>44927</v>
      </c>
      <c r="C128" s="201">
        <f t="shared" si="37"/>
        <v>44960</v>
      </c>
      <c r="D128" s="201">
        <f t="shared" si="37"/>
        <v>44981</v>
      </c>
      <c r="E128" s="182" t="s">
        <v>15</v>
      </c>
      <c r="F128" s="110">
        <v>9</v>
      </c>
      <c r="G128" s="183">
        <v>6</v>
      </c>
      <c r="H128" s="184">
        <f t="shared" si="25"/>
        <v>17.534722508656106</v>
      </c>
      <c r="I128" s="184">
        <f t="shared" ref="I128:I147" si="39">$J$3</f>
        <v>12.581896396484561</v>
      </c>
      <c r="J128" s="185">
        <f t="shared" si="36"/>
        <v>75.49137837890737</v>
      </c>
      <c r="K128" s="186">
        <f t="shared" si="30"/>
        <v>105.20833505193664</v>
      </c>
      <c r="L128" s="187">
        <f>+J128-K128</f>
        <v>-29.716956673029273</v>
      </c>
      <c r="M128" s="188">
        <f t="shared" si="26"/>
        <v>-2.4382769998668752</v>
      </c>
      <c r="N128" s="189">
        <f t="shared" si="27"/>
        <v>-32.155233672896145</v>
      </c>
      <c r="O128" s="188">
        <v>0</v>
      </c>
      <c r="P128" s="188">
        <v>0</v>
      </c>
      <c r="Q128" s="188">
        <v>0</v>
      </c>
      <c r="R128" s="189">
        <f t="shared" si="28"/>
        <v>-32.155233672896145</v>
      </c>
    </row>
    <row r="129" spans="1:18" x14ac:dyDescent="0.25">
      <c r="A129" s="146">
        <v>2</v>
      </c>
      <c r="B129" s="181">
        <f t="shared" si="35"/>
        <v>44958</v>
      </c>
      <c r="C129" s="201">
        <f t="shared" si="37"/>
        <v>44988</v>
      </c>
      <c r="D129" s="201">
        <f t="shared" si="37"/>
        <v>45009</v>
      </c>
      <c r="E129" s="190" t="s">
        <v>15</v>
      </c>
      <c r="F129" s="146">
        <v>9</v>
      </c>
      <c r="G129" s="183">
        <v>5</v>
      </c>
      <c r="H129" s="184">
        <f t="shared" si="25"/>
        <v>17.534722508656106</v>
      </c>
      <c r="I129" s="184">
        <f t="shared" si="39"/>
        <v>12.581896396484561</v>
      </c>
      <c r="J129" s="185">
        <f t="shared" si="36"/>
        <v>62.909481982422804</v>
      </c>
      <c r="K129" s="186">
        <f t="shared" si="30"/>
        <v>87.673612543280527</v>
      </c>
      <c r="L129" s="187">
        <f>+J129-K129</f>
        <v>-24.764130560857723</v>
      </c>
      <c r="M129" s="188">
        <f t="shared" si="26"/>
        <v>-2.0318974998890624</v>
      </c>
      <c r="N129" s="189">
        <f t="shared" si="27"/>
        <v>-26.796028060746785</v>
      </c>
      <c r="O129" s="188">
        <v>0</v>
      </c>
      <c r="P129" s="188">
        <v>0</v>
      </c>
      <c r="Q129" s="188">
        <v>0</v>
      </c>
      <c r="R129" s="189">
        <f t="shared" si="28"/>
        <v>-26.796028060746785</v>
      </c>
    </row>
    <row r="130" spans="1:18" x14ac:dyDescent="0.25">
      <c r="A130" s="146">
        <v>3</v>
      </c>
      <c r="B130" s="181">
        <f t="shared" si="35"/>
        <v>44986</v>
      </c>
      <c r="C130" s="201">
        <f t="shared" si="37"/>
        <v>45021</v>
      </c>
      <c r="D130" s="201">
        <f t="shared" si="37"/>
        <v>45040</v>
      </c>
      <c r="E130" s="190" t="s">
        <v>15</v>
      </c>
      <c r="F130" s="146">
        <v>9</v>
      </c>
      <c r="G130" s="183">
        <v>5</v>
      </c>
      <c r="H130" s="184">
        <f t="shared" si="25"/>
        <v>17.534722508656106</v>
      </c>
      <c r="I130" s="184">
        <f t="shared" si="39"/>
        <v>12.581896396484561</v>
      </c>
      <c r="J130" s="185">
        <f t="shared" si="36"/>
        <v>62.909481982422804</v>
      </c>
      <c r="K130" s="186">
        <f t="shared" si="30"/>
        <v>87.673612543280527</v>
      </c>
      <c r="L130" s="187">
        <f>+J130-K130</f>
        <v>-24.764130560857723</v>
      </c>
      <c r="M130" s="188">
        <f t="shared" si="26"/>
        <v>-2.0318974998890624</v>
      </c>
      <c r="N130" s="189">
        <f t="shared" si="27"/>
        <v>-26.796028060746785</v>
      </c>
      <c r="O130" s="188">
        <v>0</v>
      </c>
      <c r="P130" s="188">
        <v>0</v>
      </c>
      <c r="Q130" s="188">
        <v>0</v>
      </c>
      <c r="R130" s="189">
        <f t="shared" si="28"/>
        <v>-26.796028060746785</v>
      </c>
    </row>
    <row r="131" spans="1:18" x14ac:dyDescent="0.25">
      <c r="A131" s="110">
        <v>4</v>
      </c>
      <c r="B131" s="181">
        <f t="shared" si="35"/>
        <v>45017</v>
      </c>
      <c r="C131" s="201">
        <f t="shared" si="37"/>
        <v>45049</v>
      </c>
      <c r="D131" s="201">
        <f t="shared" si="37"/>
        <v>45070</v>
      </c>
      <c r="E131" s="190" t="s">
        <v>15</v>
      </c>
      <c r="F131" s="146">
        <v>9</v>
      </c>
      <c r="G131" s="183">
        <v>7</v>
      </c>
      <c r="H131" s="184">
        <f t="shared" si="25"/>
        <v>17.534722508656106</v>
      </c>
      <c r="I131" s="184">
        <f t="shared" si="39"/>
        <v>12.581896396484561</v>
      </c>
      <c r="J131" s="185">
        <f t="shared" si="36"/>
        <v>88.073274775391923</v>
      </c>
      <c r="K131" s="186">
        <f t="shared" si="30"/>
        <v>122.74305756059275</v>
      </c>
      <c r="L131" s="187">
        <f t="shared" ref="L131:L141" si="40">+J131-K131</f>
        <v>-34.669782785200823</v>
      </c>
      <c r="M131" s="188">
        <f t="shared" si="26"/>
        <v>-2.8446564998446875</v>
      </c>
      <c r="N131" s="189">
        <f t="shared" si="27"/>
        <v>-37.514439285045512</v>
      </c>
      <c r="O131" s="188">
        <v>0</v>
      </c>
      <c r="P131" s="188">
        <v>0</v>
      </c>
      <c r="Q131" s="188">
        <v>0</v>
      </c>
      <c r="R131" s="189">
        <f t="shared" si="28"/>
        <v>-37.514439285045512</v>
      </c>
    </row>
    <row r="132" spans="1:18" x14ac:dyDescent="0.25">
      <c r="A132" s="146">
        <v>5</v>
      </c>
      <c r="B132" s="181">
        <f t="shared" si="35"/>
        <v>45047</v>
      </c>
      <c r="C132" s="201">
        <f t="shared" si="37"/>
        <v>45082</v>
      </c>
      <c r="D132" s="201">
        <f t="shared" si="37"/>
        <v>45103</v>
      </c>
      <c r="E132" s="52" t="s">
        <v>15</v>
      </c>
      <c r="F132" s="146">
        <v>9</v>
      </c>
      <c r="G132" s="183">
        <v>4</v>
      </c>
      <c r="H132" s="184">
        <f t="shared" si="25"/>
        <v>17.534722508656106</v>
      </c>
      <c r="I132" s="184">
        <f t="shared" si="39"/>
        <v>12.581896396484561</v>
      </c>
      <c r="J132" s="185">
        <f t="shared" si="36"/>
        <v>50.327585585938245</v>
      </c>
      <c r="K132" s="186">
        <f t="shared" si="30"/>
        <v>70.138890034624424</v>
      </c>
      <c r="L132" s="187">
        <f t="shared" si="40"/>
        <v>-19.81130444868618</v>
      </c>
      <c r="M132" s="188">
        <f t="shared" si="26"/>
        <v>-1.6255179999112499</v>
      </c>
      <c r="N132" s="189">
        <f t="shared" si="27"/>
        <v>-21.436822448597429</v>
      </c>
      <c r="O132" s="188">
        <v>0</v>
      </c>
      <c r="P132" s="188">
        <v>0</v>
      </c>
      <c r="Q132" s="188">
        <v>0</v>
      </c>
      <c r="R132" s="189">
        <f t="shared" si="28"/>
        <v>-21.436822448597429</v>
      </c>
    </row>
    <row r="133" spans="1:18" x14ac:dyDescent="0.25">
      <c r="A133" s="146">
        <v>6</v>
      </c>
      <c r="B133" s="181">
        <f t="shared" si="35"/>
        <v>45078</v>
      </c>
      <c r="C133" s="201">
        <f t="shared" si="37"/>
        <v>45112</v>
      </c>
      <c r="D133" s="201">
        <f t="shared" si="37"/>
        <v>45131</v>
      </c>
      <c r="E133" s="52" t="s">
        <v>15</v>
      </c>
      <c r="F133" s="146">
        <v>9</v>
      </c>
      <c r="G133" s="183">
        <v>14</v>
      </c>
      <c r="H133" s="184">
        <f t="shared" si="25"/>
        <v>17.534722508656106</v>
      </c>
      <c r="I133" s="184">
        <f t="shared" si="39"/>
        <v>12.581896396484561</v>
      </c>
      <c r="J133" s="185">
        <f t="shared" si="36"/>
        <v>176.14654955078385</v>
      </c>
      <c r="K133" s="186">
        <f t="shared" si="30"/>
        <v>245.48611512118549</v>
      </c>
      <c r="L133" s="191">
        <f t="shared" si="40"/>
        <v>-69.339565570401646</v>
      </c>
      <c r="M133" s="188">
        <f t="shared" si="26"/>
        <v>-5.689312999689375</v>
      </c>
      <c r="N133" s="189">
        <f t="shared" si="27"/>
        <v>-75.028878570091024</v>
      </c>
      <c r="O133" s="188">
        <v>0</v>
      </c>
      <c r="P133" s="188">
        <v>0</v>
      </c>
      <c r="Q133" s="188">
        <v>0</v>
      </c>
      <c r="R133" s="189">
        <f t="shared" si="28"/>
        <v>-75.028878570091024</v>
      </c>
    </row>
    <row r="134" spans="1:18" x14ac:dyDescent="0.25">
      <c r="A134" s="110">
        <v>7</v>
      </c>
      <c r="B134" s="181">
        <f t="shared" si="35"/>
        <v>45108</v>
      </c>
      <c r="C134" s="201">
        <f t="shared" si="37"/>
        <v>45141</v>
      </c>
      <c r="D134" s="201">
        <f t="shared" si="37"/>
        <v>45162</v>
      </c>
      <c r="E134" s="52" t="s">
        <v>15</v>
      </c>
      <c r="F134" s="146">
        <v>9</v>
      </c>
      <c r="G134" s="183">
        <v>13</v>
      </c>
      <c r="H134" s="184">
        <f t="shared" si="25"/>
        <v>17.534722508656106</v>
      </c>
      <c r="I134" s="184">
        <f t="shared" si="39"/>
        <v>12.581896396484561</v>
      </c>
      <c r="J134" s="185">
        <f t="shared" si="36"/>
        <v>163.56465315429929</v>
      </c>
      <c r="K134" s="192">
        <f t="shared" ref="K134:K197" si="41">+$G134*H134</f>
        <v>227.95139261252939</v>
      </c>
      <c r="L134" s="191">
        <f t="shared" si="40"/>
        <v>-64.386739458230096</v>
      </c>
      <c r="M134" s="188">
        <f t="shared" si="26"/>
        <v>-5.2829334997115618</v>
      </c>
      <c r="N134" s="189">
        <f t="shared" si="27"/>
        <v>-69.669672957941657</v>
      </c>
      <c r="O134" s="188">
        <v>0</v>
      </c>
      <c r="P134" s="188">
        <v>0</v>
      </c>
      <c r="Q134" s="188">
        <v>0</v>
      </c>
      <c r="R134" s="189">
        <f t="shared" si="28"/>
        <v>-69.669672957941657</v>
      </c>
    </row>
    <row r="135" spans="1:18" x14ac:dyDescent="0.25">
      <c r="A135" s="146">
        <v>8</v>
      </c>
      <c r="B135" s="181">
        <f t="shared" si="35"/>
        <v>45139</v>
      </c>
      <c r="C135" s="201">
        <f t="shared" si="37"/>
        <v>45174</v>
      </c>
      <c r="D135" s="201">
        <f t="shared" si="37"/>
        <v>45194</v>
      </c>
      <c r="E135" s="52" t="s">
        <v>15</v>
      </c>
      <c r="F135" s="146">
        <v>9</v>
      </c>
      <c r="G135" s="183">
        <v>19</v>
      </c>
      <c r="H135" s="184">
        <f t="shared" si="25"/>
        <v>17.534722508656106</v>
      </c>
      <c r="I135" s="184">
        <f t="shared" si="39"/>
        <v>12.581896396484561</v>
      </c>
      <c r="J135" s="185">
        <f t="shared" si="36"/>
        <v>239.05603153320666</v>
      </c>
      <c r="K135" s="192">
        <f t="shared" si="41"/>
        <v>333.159727664466</v>
      </c>
      <c r="L135" s="191">
        <f t="shared" si="40"/>
        <v>-94.103696131259341</v>
      </c>
      <c r="M135" s="188">
        <f t="shared" si="26"/>
        <v>-7.7212104995784383</v>
      </c>
      <c r="N135" s="189">
        <f t="shared" si="27"/>
        <v>-101.82490663083777</v>
      </c>
      <c r="O135" s="188">
        <v>0</v>
      </c>
      <c r="P135" s="188">
        <v>0</v>
      </c>
      <c r="Q135" s="188">
        <v>0</v>
      </c>
      <c r="R135" s="189">
        <f t="shared" si="28"/>
        <v>-101.82490663083777</v>
      </c>
    </row>
    <row r="136" spans="1:18" x14ac:dyDescent="0.25">
      <c r="A136" s="146">
        <v>9</v>
      </c>
      <c r="B136" s="181">
        <f t="shared" si="35"/>
        <v>45170</v>
      </c>
      <c r="C136" s="201">
        <f t="shared" si="37"/>
        <v>45203</v>
      </c>
      <c r="D136" s="201">
        <f t="shared" si="37"/>
        <v>45223</v>
      </c>
      <c r="E136" s="52" t="s">
        <v>15</v>
      </c>
      <c r="F136" s="146">
        <v>9</v>
      </c>
      <c r="G136" s="183">
        <v>18</v>
      </c>
      <c r="H136" s="184">
        <f t="shared" si="25"/>
        <v>17.534722508656106</v>
      </c>
      <c r="I136" s="184">
        <f t="shared" si="39"/>
        <v>12.581896396484561</v>
      </c>
      <c r="J136" s="185">
        <f t="shared" si="36"/>
        <v>226.47413513672211</v>
      </c>
      <c r="K136" s="192">
        <f t="shared" si="41"/>
        <v>315.6250051558099</v>
      </c>
      <c r="L136" s="191">
        <f t="shared" si="40"/>
        <v>-89.15087001908779</v>
      </c>
      <c r="M136" s="188">
        <f t="shared" si="26"/>
        <v>-7.3148309996006251</v>
      </c>
      <c r="N136" s="189">
        <f t="shared" si="27"/>
        <v>-96.465701018688421</v>
      </c>
      <c r="O136" s="188">
        <v>0</v>
      </c>
      <c r="P136" s="188">
        <v>0</v>
      </c>
      <c r="Q136" s="188">
        <v>0</v>
      </c>
      <c r="R136" s="189">
        <f t="shared" si="28"/>
        <v>-96.465701018688421</v>
      </c>
    </row>
    <row r="137" spans="1:18" x14ac:dyDescent="0.25">
      <c r="A137" s="110">
        <v>10</v>
      </c>
      <c r="B137" s="181">
        <f t="shared" si="35"/>
        <v>45200</v>
      </c>
      <c r="C137" s="201">
        <f t="shared" si="37"/>
        <v>45233</v>
      </c>
      <c r="D137" s="201">
        <f t="shared" si="37"/>
        <v>45254</v>
      </c>
      <c r="E137" s="52" t="s">
        <v>15</v>
      </c>
      <c r="F137" s="146">
        <v>9</v>
      </c>
      <c r="G137" s="183">
        <v>6</v>
      </c>
      <c r="H137" s="184">
        <f t="shared" si="25"/>
        <v>17.534722508656106</v>
      </c>
      <c r="I137" s="184">
        <f t="shared" si="39"/>
        <v>12.581896396484561</v>
      </c>
      <c r="J137" s="185">
        <f t="shared" si="36"/>
        <v>75.49137837890737</v>
      </c>
      <c r="K137" s="192">
        <f t="shared" si="41"/>
        <v>105.20833505193664</v>
      </c>
      <c r="L137" s="191">
        <f t="shared" si="40"/>
        <v>-29.716956673029273</v>
      </c>
      <c r="M137" s="188">
        <f t="shared" si="26"/>
        <v>-2.4382769998668752</v>
      </c>
      <c r="N137" s="189">
        <f t="shared" si="27"/>
        <v>-32.155233672896145</v>
      </c>
      <c r="O137" s="188">
        <v>0</v>
      </c>
      <c r="P137" s="188">
        <v>0</v>
      </c>
      <c r="Q137" s="188">
        <v>0</v>
      </c>
      <c r="R137" s="189">
        <f t="shared" si="28"/>
        <v>-32.155233672896145</v>
      </c>
    </row>
    <row r="138" spans="1:18" x14ac:dyDescent="0.25">
      <c r="A138" s="146">
        <v>11</v>
      </c>
      <c r="B138" s="181">
        <f t="shared" si="35"/>
        <v>45231</v>
      </c>
      <c r="C138" s="201">
        <f t="shared" si="37"/>
        <v>45266</v>
      </c>
      <c r="D138" s="201">
        <f t="shared" si="37"/>
        <v>45285</v>
      </c>
      <c r="E138" s="52" t="s">
        <v>15</v>
      </c>
      <c r="F138" s="146">
        <v>9</v>
      </c>
      <c r="G138" s="183">
        <v>6</v>
      </c>
      <c r="H138" s="184">
        <f t="shared" si="25"/>
        <v>17.534722508656106</v>
      </c>
      <c r="I138" s="184">
        <f t="shared" si="39"/>
        <v>12.581896396484561</v>
      </c>
      <c r="J138" s="185">
        <f t="shared" si="36"/>
        <v>75.49137837890737</v>
      </c>
      <c r="K138" s="192">
        <f t="shared" si="41"/>
        <v>105.20833505193664</v>
      </c>
      <c r="L138" s="191">
        <f t="shared" si="40"/>
        <v>-29.716956673029273</v>
      </c>
      <c r="M138" s="188">
        <f t="shared" si="26"/>
        <v>-2.4382769998668752</v>
      </c>
      <c r="N138" s="189">
        <f t="shared" si="27"/>
        <v>-32.155233672896145</v>
      </c>
      <c r="O138" s="188">
        <v>0</v>
      </c>
      <c r="P138" s="188">
        <v>0</v>
      </c>
      <c r="Q138" s="188">
        <v>0</v>
      </c>
      <c r="R138" s="189">
        <f t="shared" si="28"/>
        <v>-32.155233672896145</v>
      </c>
    </row>
    <row r="139" spans="1:18" s="205" customFormat="1" x14ac:dyDescent="0.25">
      <c r="A139" s="146">
        <v>12</v>
      </c>
      <c r="B139" s="203">
        <f t="shared" si="35"/>
        <v>45261</v>
      </c>
      <c r="C139" s="201">
        <f t="shared" si="37"/>
        <v>45294</v>
      </c>
      <c r="D139" s="201">
        <f t="shared" si="37"/>
        <v>45315</v>
      </c>
      <c r="E139" s="204" t="s">
        <v>15</v>
      </c>
      <c r="F139" s="157">
        <v>9</v>
      </c>
      <c r="G139" s="183">
        <v>5</v>
      </c>
      <c r="H139" s="193">
        <f t="shared" si="25"/>
        <v>17.534722508656106</v>
      </c>
      <c r="I139" s="193">
        <f t="shared" si="39"/>
        <v>12.581896396484561</v>
      </c>
      <c r="J139" s="194">
        <f t="shared" si="36"/>
        <v>62.909481982422804</v>
      </c>
      <c r="K139" s="195">
        <f t="shared" si="41"/>
        <v>87.673612543280527</v>
      </c>
      <c r="L139" s="196">
        <f t="shared" si="40"/>
        <v>-24.764130560857723</v>
      </c>
      <c r="M139" s="188">
        <f t="shared" si="26"/>
        <v>-2.0318974998890624</v>
      </c>
      <c r="N139" s="189">
        <f t="shared" si="27"/>
        <v>-26.796028060746785</v>
      </c>
      <c r="O139" s="188">
        <v>0</v>
      </c>
      <c r="P139" s="188">
        <v>0</v>
      </c>
      <c r="Q139" s="188">
        <v>0</v>
      </c>
      <c r="R139" s="189">
        <f t="shared" si="28"/>
        <v>-26.796028060746785</v>
      </c>
    </row>
    <row r="140" spans="1:18" x14ac:dyDescent="0.25">
      <c r="A140" s="110">
        <v>1</v>
      </c>
      <c r="B140" s="181">
        <f t="shared" si="35"/>
        <v>44927</v>
      </c>
      <c r="C140" s="198">
        <f t="shared" ref="C140:D151" si="42">+C128</f>
        <v>44960</v>
      </c>
      <c r="D140" s="198">
        <f t="shared" si="42"/>
        <v>44981</v>
      </c>
      <c r="E140" s="208" t="s">
        <v>16</v>
      </c>
      <c r="F140" s="146">
        <v>9</v>
      </c>
      <c r="G140" s="183">
        <v>4</v>
      </c>
      <c r="H140" s="184">
        <f t="shared" si="25"/>
        <v>17.534722508656106</v>
      </c>
      <c r="I140" s="184">
        <f t="shared" si="39"/>
        <v>12.581896396484561</v>
      </c>
      <c r="J140" s="185">
        <f t="shared" si="36"/>
        <v>50.327585585938245</v>
      </c>
      <c r="K140" s="186">
        <f t="shared" si="41"/>
        <v>70.138890034624424</v>
      </c>
      <c r="L140" s="187">
        <f t="shared" si="40"/>
        <v>-19.81130444868618</v>
      </c>
      <c r="M140" s="188">
        <f t="shared" si="26"/>
        <v>-1.6255179999112499</v>
      </c>
      <c r="N140" s="189">
        <f t="shared" si="27"/>
        <v>-21.436822448597429</v>
      </c>
      <c r="O140" s="188">
        <v>0</v>
      </c>
      <c r="P140" s="188">
        <v>0</v>
      </c>
      <c r="Q140" s="188">
        <v>0</v>
      </c>
      <c r="R140" s="189">
        <f t="shared" si="28"/>
        <v>-21.436822448597429</v>
      </c>
    </row>
    <row r="141" spans="1:18" x14ac:dyDescent="0.25">
      <c r="A141" s="146">
        <v>2</v>
      </c>
      <c r="B141" s="181">
        <f t="shared" si="35"/>
        <v>44958</v>
      </c>
      <c r="C141" s="201">
        <f t="shared" si="42"/>
        <v>44988</v>
      </c>
      <c r="D141" s="201">
        <f t="shared" si="42"/>
        <v>45009</v>
      </c>
      <c r="E141" s="52" t="s">
        <v>16</v>
      </c>
      <c r="F141" s="146">
        <v>9</v>
      </c>
      <c r="G141" s="183">
        <v>5</v>
      </c>
      <c r="H141" s="184">
        <f t="shared" si="25"/>
        <v>17.534722508656106</v>
      </c>
      <c r="I141" s="184">
        <f t="shared" si="39"/>
        <v>12.581896396484561</v>
      </c>
      <c r="J141" s="185">
        <f t="shared" si="36"/>
        <v>62.909481982422804</v>
      </c>
      <c r="K141" s="186">
        <f t="shared" si="41"/>
        <v>87.673612543280527</v>
      </c>
      <c r="L141" s="187">
        <f t="shared" si="40"/>
        <v>-24.764130560857723</v>
      </c>
      <c r="M141" s="188">
        <f t="shared" si="26"/>
        <v>-2.0318974998890624</v>
      </c>
      <c r="N141" s="189">
        <f t="shared" si="27"/>
        <v>-26.796028060746785</v>
      </c>
      <c r="O141" s="188">
        <v>0</v>
      </c>
      <c r="P141" s="188">
        <v>0</v>
      </c>
      <c r="Q141" s="188">
        <v>0</v>
      </c>
      <c r="R141" s="189">
        <f t="shared" si="28"/>
        <v>-26.796028060746785</v>
      </c>
    </row>
    <row r="142" spans="1:18" x14ac:dyDescent="0.25">
      <c r="A142" s="146">
        <v>3</v>
      </c>
      <c r="B142" s="181">
        <f t="shared" si="35"/>
        <v>44986</v>
      </c>
      <c r="C142" s="201">
        <f t="shared" si="42"/>
        <v>45021</v>
      </c>
      <c r="D142" s="201">
        <f t="shared" si="42"/>
        <v>45040</v>
      </c>
      <c r="E142" s="52" t="s">
        <v>16</v>
      </c>
      <c r="F142" s="146">
        <v>9</v>
      </c>
      <c r="G142" s="183">
        <v>1</v>
      </c>
      <c r="H142" s="184">
        <f t="shared" si="25"/>
        <v>17.534722508656106</v>
      </c>
      <c r="I142" s="184">
        <f t="shared" si="39"/>
        <v>12.581896396484561</v>
      </c>
      <c r="J142" s="185">
        <f t="shared" si="36"/>
        <v>12.581896396484561</v>
      </c>
      <c r="K142" s="186">
        <f t="shared" si="41"/>
        <v>17.534722508656106</v>
      </c>
      <c r="L142" s="187">
        <f>+J142-K142</f>
        <v>-4.9528261121715449</v>
      </c>
      <c r="M142" s="188">
        <f t="shared" si="26"/>
        <v>-0.40637949997781248</v>
      </c>
      <c r="N142" s="189">
        <f t="shared" si="27"/>
        <v>-5.3592056121493572</v>
      </c>
      <c r="O142" s="188">
        <v>0</v>
      </c>
      <c r="P142" s="188">
        <v>0</v>
      </c>
      <c r="Q142" s="188">
        <v>0</v>
      </c>
      <c r="R142" s="189">
        <f t="shared" si="28"/>
        <v>-5.3592056121493572</v>
      </c>
    </row>
    <row r="143" spans="1:18" x14ac:dyDescent="0.25">
      <c r="A143" s="110">
        <v>4</v>
      </c>
      <c r="B143" s="181">
        <f t="shared" si="35"/>
        <v>45017</v>
      </c>
      <c r="C143" s="201">
        <f t="shared" si="42"/>
        <v>45049</v>
      </c>
      <c r="D143" s="201">
        <f t="shared" si="42"/>
        <v>45070</v>
      </c>
      <c r="E143" s="52" t="s">
        <v>16</v>
      </c>
      <c r="F143" s="146">
        <v>9</v>
      </c>
      <c r="G143" s="183">
        <v>7</v>
      </c>
      <c r="H143" s="184">
        <f t="shared" si="25"/>
        <v>17.534722508656106</v>
      </c>
      <c r="I143" s="184">
        <f t="shared" si="39"/>
        <v>12.581896396484561</v>
      </c>
      <c r="J143" s="185">
        <f t="shared" si="36"/>
        <v>88.073274775391923</v>
      </c>
      <c r="K143" s="186">
        <f t="shared" si="41"/>
        <v>122.74305756059275</v>
      </c>
      <c r="L143" s="187">
        <f t="shared" ref="L143:L153" si="43">+J143-K143</f>
        <v>-34.669782785200823</v>
      </c>
      <c r="M143" s="188">
        <f t="shared" si="26"/>
        <v>-2.8446564998446875</v>
      </c>
      <c r="N143" s="189">
        <f t="shared" si="27"/>
        <v>-37.514439285045512</v>
      </c>
      <c r="O143" s="188">
        <v>0</v>
      </c>
      <c r="P143" s="188">
        <v>0</v>
      </c>
      <c r="Q143" s="188">
        <v>0</v>
      </c>
      <c r="R143" s="189">
        <f t="shared" si="28"/>
        <v>-37.514439285045512</v>
      </c>
    </row>
    <row r="144" spans="1:18" x14ac:dyDescent="0.25">
      <c r="A144" s="146">
        <v>5</v>
      </c>
      <c r="B144" s="181">
        <f t="shared" si="35"/>
        <v>45047</v>
      </c>
      <c r="C144" s="201">
        <f t="shared" si="42"/>
        <v>45082</v>
      </c>
      <c r="D144" s="201">
        <f t="shared" si="42"/>
        <v>45103</v>
      </c>
      <c r="E144" s="52" t="s">
        <v>16</v>
      </c>
      <c r="F144" s="146">
        <v>9</v>
      </c>
      <c r="G144" s="183">
        <v>3</v>
      </c>
      <c r="H144" s="184">
        <f t="shared" si="25"/>
        <v>17.534722508656106</v>
      </c>
      <c r="I144" s="184">
        <f t="shared" si="39"/>
        <v>12.581896396484561</v>
      </c>
      <c r="J144" s="185">
        <f t="shared" si="36"/>
        <v>37.745689189453685</v>
      </c>
      <c r="K144" s="186">
        <f t="shared" si="41"/>
        <v>52.604167525968322</v>
      </c>
      <c r="L144" s="187">
        <f t="shared" si="43"/>
        <v>-14.858478336514636</v>
      </c>
      <c r="M144" s="188">
        <f t="shared" si="26"/>
        <v>-1.2191384999334376</v>
      </c>
      <c r="N144" s="189">
        <f t="shared" si="27"/>
        <v>-16.077616836448072</v>
      </c>
      <c r="O144" s="188">
        <v>0</v>
      </c>
      <c r="P144" s="188">
        <v>0</v>
      </c>
      <c r="Q144" s="188">
        <v>0</v>
      </c>
      <c r="R144" s="189">
        <f t="shared" si="28"/>
        <v>-16.077616836448072</v>
      </c>
    </row>
    <row r="145" spans="1:19" x14ac:dyDescent="0.25">
      <c r="A145" s="146">
        <v>6</v>
      </c>
      <c r="B145" s="181">
        <f t="shared" si="35"/>
        <v>45078</v>
      </c>
      <c r="C145" s="201">
        <f t="shared" si="42"/>
        <v>45112</v>
      </c>
      <c r="D145" s="201">
        <f t="shared" si="42"/>
        <v>45131</v>
      </c>
      <c r="E145" s="52" t="s">
        <v>16</v>
      </c>
      <c r="F145" s="146">
        <v>9</v>
      </c>
      <c r="G145" s="183">
        <v>7</v>
      </c>
      <c r="H145" s="184">
        <f t="shared" si="25"/>
        <v>17.534722508656106</v>
      </c>
      <c r="I145" s="184">
        <f t="shared" si="39"/>
        <v>12.581896396484561</v>
      </c>
      <c r="J145" s="185">
        <f t="shared" si="36"/>
        <v>88.073274775391923</v>
      </c>
      <c r="K145" s="186">
        <f t="shared" si="41"/>
        <v>122.74305756059275</v>
      </c>
      <c r="L145" s="191">
        <f t="shared" si="43"/>
        <v>-34.669782785200823</v>
      </c>
      <c r="M145" s="188">
        <f t="shared" si="26"/>
        <v>-2.8446564998446875</v>
      </c>
      <c r="N145" s="189">
        <f t="shared" si="27"/>
        <v>-37.514439285045512</v>
      </c>
      <c r="O145" s="188">
        <v>0</v>
      </c>
      <c r="P145" s="188">
        <v>0</v>
      </c>
      <c r="Q145" s="188">
        <v>0</v>
      </c>
      <c r="R145" s="189">
        <f t="shared" si="28"/>
        <v>-37.514439285045512</v>
      </c>
    </row>
    <row r="146" spans="1:19" x14ac:dyDescent="0.25">
      <c r="A146" s="110">
        <v>7</v>
      </c>
      <c r="B146" s="181">
        <f t="shared" si="35"/>
        <v>45108</v>
      </c>
      <c r="C146" s="201">
        <f t="shared" si="42"/>
        <v>45141</v>
      </c>
      <c r="D146" s="201">
        <f t="shared" si="42"/>
        <v>45162</v>
      </c>
      <c r="E146" s="52" t="s">
        <v>16</v>
      </c>
      <c r="F146" s="146">
        <v>9</v>
      </c>
      <c r="G146" s="183">
        <v>5</v>
      </c>
      <c r="H146" s="184">
        <f t="shared" si="25"/>
        <v>17.534722508656106</v>
      </c>
      <c r="I146" s="184">
        <f t="shared" si="39"/>
        <v>12.581896396484561</v>
      </c>
      <c r="J146" s="185">
        <f t="shared" si="36"/>
        <v>62.909481982422804</v>
      </c>
      <c r="K146" s="192">
        <f t="shared" si="41"/>
        <v>87.673612543280527</v>
      </c>
      <c r="L146" s="191">
        <f t="shared" si="43"/>
        <v>-24.764130560857723</v>
      </c>
      <c r="M146" s="188">
        <f t="shared" si="26"/>
        <v>-2.0318974998890624</v>
      </c>
      <c r="N146" s="189">
        <f t="shared" si="27"/>
        <v>-26.796028060746785</v>
      </c>
      <c r="O146" s="188">
        <v>0</v>
      </c>
      <c r="P146" s="188">
        <v>0</v>
      </c>
      <c r="Q146" s="188">
        <v>0</v>
      </c>
      <c r="R146" s="189">
        <f t="shared" si="28"/>
        <v>-26.796028060746785</v>
      </c>
    </row>
    <row r="147" spans="1:19" x14ac:dyDescent="0.25">
      <c r="A147" s="146">
        <v>8</v>
      </c>
      <c r="B147" s="181">
        <f t="shared" si="35"/>
        <v>45139</v>
      </c>
      <c r="C147" s="201">
        <f t="shared" si="42"/>
        <v>45174</v>
      </c>
      <c r="D147" s="201">
        <f t="shared" si="42"/>
        <v>45194</v>
      </c>
      <c r="E147" s="52" t="s">
        <v>16</v>
      </c>
      <c r="F147" s="146">
        <v>9</v>
      </c>
      <c r="G147" s="183">
        <v>5</v>
      </c>
      <c r="H147" s="184">
        <f t="shared" si="25"/>
        <v>17.534722508656106</v>
      </c>
      <c r="I147" s="184">
        <f t="shared" si="39"/>
        <v>12.581896396484561</v>
      </c>
      <c r="J147" s="185">
        <f t="shared" si="36"/>
        <v>62.909481982422804</v>
      </c>
      <c r="K147" s="192">
        <f t="shared" si="41"/>
        <v>87.673612543280527</v>
      </c>
      <c r="L147" s="191">
        <f t="shared" si="43"/>
        <v>-24.764130560857723</v>
      </c>
      <c r="M147" s="188">
        <f t="shared" si="26"/>
        <v>-2.0318974998890624</v>
      </c>
      <c r="N147" s="189">
        <f t="shared" si="27"/>
        <v>-26.796028060746785</v>
      </c>
      <c r="O147" s="188">
        <v>0</v>
      </c>
      <c r="P147" s="188">
        <v>0</v>
      </c>
      <c r="Q147" s="188">
        <v>0</v>
      </c>
      <c r="R147" s="189">
        <f t="shared" si="28"/>
        <v>-26.796028060746785</v>
      </c>
    </row>
    <row r="148" spans="1:19" x14ac:dyDescent="0.25">
      <c r="A148" s="146">
        <v>9</v>
      </c>
      <c r="B148" s="181">
        <f t="shared" si="35"/>
        <v>45170</v>
      </c>
      <c r="C148" s="201">
        <f t="shared" si="42"/>
        <v>45203</v>
      </c>
      <c r="D148" s="201">
        <f t="shared" si="42"/>
        <v>45223</v>
      </c>
      <c r="E148" s="52" t="s">
        <v>16</v>
      </c>
      <c r="F148" s="146">
        <v>9</v>
      </c>
      <c r="G148" s="183">
        <v>6</v>
      </c>
      <c r="H148" s="184">
        <f t="shared" si="25"/>
        <v>17.534722508656106</v>
      </c>
      <c r="I148" s="184">
        <f t="shared" ref="I148:I179" si="44">$J$3</f>
        <v>12.581896396484561</v>
      </c>
      <c r="J148" s="185">
        <f t="shared" si="36"/>
        <v>75.49137837890737</v>
      </c>
      <c r="K148" s="192">
        <f t="shared" si="41"/>
        <v>105.20833505193664</v>
      </c>
      <c r="L148" s="191">
        <f t="shared" si="43"/>
        <v>-29.716956673029273</v>
      </c>
      <c r="M148" s="188">
        <f t="shared" si="26"/>
        <v>-2.4382769998668752</v>
      </c>
      <c r="N148" s="189">
        <f t="shared" si="27"/>
        <v>-32.155233672896145</v>
      </c>
      <c r="O148" s="188">
        <v>0</v>
      </c>
      <c r="P148" s="188">
        <v>0</v>
      </c>
      <c r="Q148" s="188">
        <v>0</v>
      </c>
      <c r="R148" s="189">
        <f t="shared" si="28"/>
        <v>-32.155233672896145</v>
      </c>
    </row>
    <row r="149" spans="1:19" x14ac:dyDescent="0.25">
      <c r="A149" s="110">
        <v>10</v>
      </c>
      <c r="B149" s="181">
        <f t="shared" ref="B149:B211" si="45">DATE($R$1,A149,1)</f>
        <v>45200</v>
      </c>
      <c r="C149" s="201">
        <f t="shared" si="42"/>
        <v>45233</v>
      </c>
      <c r="D149" s="201">
        <f t="shared" si="42"/>
        <v>45254</v>
      </c>
      <c r="E149" s="52" t="s">
        <v>16</v>
      </c>
      <c r="F149" s="146">
        <v>9</v>
      </c>
      <c r="G149" s="183">
        <v>5</v>
      </c>
      <c r="H149" s="184">
        <f t="shared" ref="H149:H211" si="46">+$K$3</f>
        <v>17.534722508656106</v>
      </c>
      <c r="I149" s="184">
        <f t="shared" si="44"/>
        <v>12.581896396484561</v>
      </c>
      <c r="J149" s="185">
        <f t="shared" ref="J149:J211" si="47">+$G149*I149</f>
        <v>62.909481982422804</v>
      </c>
      <c r="K149" s="192">
        <f t="shared" si="41"/>
        <v>87.673612543280527</v>
      </c>
      <c r="L149" s="191">
        <f t="shared" si="43"/>
        <v>-24.764130560857723</v>
      </c>
      <c r="M149" s="188">
        <f t="shared" ref="M149:M211" si="48">G149/$G$212*$M$14</f>
        <v>-2.0318974998890624</v>
      </c>
      <c r="N149" s="189">
        <f t="shared" ref="N149:N211" si="49">SUM(L149:M149)</f>
        <v>-26.796028060746785</v>
      </c>
      <c r="O149" s="188">
        <v>0</v>
      </c>
      <c r="P149" s="188">
        <v>0</v>
      </c>
      <c r="Q149" s="188">
        <v>0</v>
      </c>
      <c r="R149" s="189">
        <f t="shared" ref="R149:R211" si="50">+N149-Q149</f>
        <v>-26.796028060746785</v>
      </c>
    </row>
    <row r="150" spans="1:19" x14ac:dyDescent="0.25">
      <c r="A150" s="146">
        <v>11</v>
      </c>
      <c r="B150" s="181">
        <f t="shared" si="45"/>
        <v>45231</v>
      </c>
      <c r="C150" s="201">
        <f t="shared" si="42"/>
        <v>45266</v>
      </c>
      <c r="D150" s="201">
        <f t="shared" si="42"/>
        <v>45285</v>
      </c>
      <c r="E150" s="52" t="s">
        <v>16</v>
      </c>
      <c r="F150" s="146">
        <v>9</v>
      </c>
      <c r="G150" s="183">
        <v>4</v>
      </c>
      <c r="H150" s="184">
        <f t="shared" si="46"/>
        <v>17.534722508656106</v>
      </c>
      <c r="I150" s="184">
        <f t="shared" si="44"/>
        <v>12.581896396484561</v>
      </c>
      <c r="J150" s="185">
        <f t="shared" si="47"/>
        <v>50.327585585938245</v>
      </c>
      <c r="K150" s="192">
        <f t="shared" si="41"/>
        <v>70.138890034624424</v>
      </c>
      <c r="L150" s="191">
        <f t="shared" si="43"/>
        <v>-19.81130444868618</v>
      </c>
      <c r="M150" s="188">
        <f t="shared" si="48"/>
        <v>-1.6255179999112499</v>
      </c>
      <c r="N150" s="189">
        <f t="shared" si="49"/>
        <v>-21.436822448597429</v>
      </c>
      <c r="O150" s="188">
        <v>0</v>
      </c>
      <c r="P150" s="188">
        <v>0</v>
      </c>
      <c r="Q150" s="188">
        <v>0</v>
      </c>
      <c r="R150" s="189">
        <f t="shared" si="50"/>
        <v>-21.436822448597429</v>
      </c>
    </row>
    <row r="151" spans="1:19" s="205" customFormat="1" x14ac:dyDescent="0.25">
      <c r="A151" s="146">
        <v>12</v>
      </c>
      <c r="B151" s="203">
        <f t="shared" si="45"/>
        <v>45261</v>
      </c>
      <c r="C151" s="201">
        <f t="shared" si="42"/>
        <v>45294</v>
      </c>
      <c r="D151" s="201">
        <f t="shared" si="42"/>
        <v>45315</v>
      </c>
      <c r="E151" s="204" t="s">
        <v>16</v>
      </c>
      <c r="F151" s="157">
        <v>9</v>
      </c>
      <c r="G151" s="183">
        <v>4</v>
      </c>
      <c r="H151" s="193">
        <f t="shared" si="46"/>
        <v>17.534722508656106</v>
      </c>
      <c r="I151" s="193">
        <f t="shared" si="44"/>
        <v>12.581896396484561</v>
      </c>
      <c r="J151" s="194">
        <f t="shared" si="47"/>
        <v>50.327585585938245</v>
      </c>
      <c r="K151" s="195">
        <f t="shared" si="41"/>
        <v>70.138890034624424</v>
      </c>
      <c r="L151" s="196">
        <f t="shared" si="43"/>
        <v>-19.81130444868618</v>
      </c>
      <c r="M151" s="188">
        <f t="shared" si="48"/>
        <v>-1.6255179999112499</v>
      </c>
      <c r="N151" s="189">
        <f t="shared" si="49"/>
        <v>-21.436822448597429</v>
      </c>
      <c r="O151" s="188">
        <v>0</v>
      </c>
      <c r="P151" s="188">
        <v>0</v>
      </c>
      <c r="Q151" s="188">
        <v>0</v>
      </c>
      <c r="R151" s="189">
        <f t="shared" si="50"/>
        <v>-21.436822448597429</v>
      </c>
    </row>
    <row r="152" spans="1:19" x14ac:dyDescent="0.25">
      <c r="A152" s="110">
        <v>1</v>
      </c>
      <c r="B152" s="181">
        <f t="shared" si="45"/>
        <v>44927</v>
      </c>
      <c r="C152" s="198">
        <f t="shared" ref="C152:D171" si="51">+C140</f>
        <v>44960</v>
      </c>
      <c r="D152" s="198">
        <f t="shared" si="51"/>
        <v>44981</v>
      </c>
      <c r="E152" s="208" t="s">
        <v>53</v>
      </c>
      <c r="F152" s="110">
        <v>9</v>
      </c>
      <c r="G152" s="183">
        <v>113</v>
      </c>
      <c r="H152" s="184">
        <f t="shared" si="46"/>
        <v>17.534722508656106</v>
      </c>
      <c r="I152" s="184">
        <f t="shared" si="44"/>
        <v>12.581896396484561</v>
      </c>
      <c r="J152" s="185">
        <f t="shared" si="47"/>
        <v>1421.7542928027553</v>
      </c>
      <c r="K152" s="186">
        <f t="shared" si="41"/>
        <v>1981.4236434781401</v>
      </c>
      <c r="L152" s="187">
        <f t="shared" si="43"/>
        <v>-559.66935067538475</v>
      </c>
      <c r="M152" s="188">
        <f t="shared" si="48"/>
        <v>-45.92088349749281</v>
      </c>
      <c r="N152" s="189">
        <f t="shared" si="49"/>
        <v>-605.59023417287756</v>
      </c>
      <c r="O152" s="188">
        <v>0</v>
      </c>
      <c r="P152" s="188">
        <v>0</v>
      </c>
      <c r="Q152" s="188">
        <v>0</v>
      </c>
      <c r="R152" s="189">
        <f t="shared" si="50"/>
        <v>-605.59023417287756</v>
      </c>
    </row>
    <row r="153" spans="1:19" x14ac:dyDescent="0.25">
      <c r="A153" s="146">
        <v>2</v>
      </c>
      <c r="B153" s="181">
        <f t="shared" si="45"/>
        <v>44958</v>
      </c>
      <c r="C153" s="201">
        <f t="shared" si="51"/>
        <v>44988</v>
      </c>
      <c r="D153" s="201">
        <f t="shared" si="51"/>
        <v>45009</v>
      </c>
      <c r="E153" s="209" t="s">
        <v>53</v>
      </c>
      <c r="F153" s="146">
        <v>9</v>
      </c>
      <c r="G153" s="183">
        <v>108</v>
      </c>
      <c r="H153" s="184">
        <f t="shared" si="46"/>
        <v>17.534722508656106</v>
      </c>
      <c r="I153" s="184">
        <f t="shared" si="44"/>
        <v>12.581896396484561</v>
      </c>
      <c r="J153" s="185">
        <f t="shared" si="47"/>
        <v>1358.8448108203327</v>
      </c>
      <c r="K153" s="186">
        <f t="shared" si="41"/>
        <v>1893.7500309348595</v>
      </c>
      <c r="L153" s="187">
        <f t="shared" si="43"/>
        <v>-534.90522011452686</v>
      </c>
      <c r="M153" s="188">
        <f t="shared" si="48"/>
        <v>-43.888985997603754</v>
      </c>
      <c r="N153" s="189">
        <f t="shared" si="49"/>
        <v>-578.79420611213061</v>
      </c>
      <c r="O153" s="188">
        <v>0</v>
      </c>
      <c r="P153" s="188">
        <v>0</v>
      </c>
      <c r="Q153" s="188">
        <v>0</v>
      </c>
      <c r="R153" s="189">
        <f t="shared" si="50"/>
        <v>-578.79420611213061</v>
      </c>
    </row>
    <row r="154" spans="1:19" x14ac:dyDescent="0.25">
      <c r="A154" s="146">
        <v>3</v>
      </c>
      <c r="B154" s="181">
        <f t="shared" si="45"/>
        <v>44986</v>
      </c>
      <c r="C154" s="201">
        <f t="shared" si="51"/>
        <v>45021</v>
      </c>
      <c r="D154" s="201">
        <f t="shared" si="51"/>
        <v>45040</v>
      </c>
      <c r="E154" s="209" t="s">
        <v>53</v>
      </c>
      <c r="F154" s="146">
        <v>9</v>
      </c>
      <c r="G154" s="183">
        <v>96</v>
      </c>
      <c r="H154" s="184">
        <f t="shared" si="46"/>
        <v>17.534722508656106</v>
      </c>
      <c r="I154" s="184">
        <f t="shared" si="44"/>
        <v>12.581896396484561</v>
      </c>
      <c r="J154" s="185">
        <f t="shared" si="47"/>
        <v>1207.8620540625179</v>
      </c>
      <c r="K154" s="186">
        <f t="shared" si="41"/>
        <v>1683.3333608309863</v>
      </c>
      <c r="L154" s="187">
        <f>+J154-K154</f>
        <v>-475.47130676846837</v>
      </c>
      <c r="M154" s="188">
        <f t="shared" si="48"/>
        <v>-39.012431997870003</v>
      </c>
      <c r="N154" s="189">
        <f t="shared" si="49"/>
        <v>-514.48373876633832</v>
      </c>
      <c r="O154" s="188">
        <v>0</v>
      </c>
      <c r="P154" s="188">
        <v>0</v>
      </c>
      <c r="Q154" s="188">
        <v>0</v>
      </c>
      <c r="R154" s="189">
        <f t="shared" si="50"/>
        <v>-514.48373876633832</v>
      </c>
    </row>
    <row r="155" spans="1:19" x14ac:dyDescent="0.25">
      <c r="A155" s="110">
        <v>4</v>
      </c>
      <c r="B155" s="181">
        <f t="shared" si="45"/>
        <v>45017</v>
      </c>
      <c r="C155" s="201">
        <f t="shared" si="51"/>
        <v>45049</v>
      </c>
      <c r="D155" s="201">
        <f t="shared" si="51"/>
        <v>45070</v>
      </c>
      <c r="E155" s="209" t="s">
        <v>53</v>
      </c>
      <c r="F155" s="146">
        <v>9</v>
      </c>
      <c r="G155" s="183">
        <v>91</v>
      </c>
      <c r="H155" s="184">
        <f t="shared" si="46"/>
        <v>17.534722508656106</v>
      </c>
      <c r="I155" s="184">
        <f t="shared" si="44"/>
        <v>12.581896396484561</v>
      </c>
      <c r="J155" s="185">
        <f t="shared" si="47"/>
        <v>1144.952572080095</v>
      </c>
      <c r="K155" s="186">
        <f t="shared" si="41"/>
        <v>1595.6597482877057</v>
      </c>
      <c r="L155" s="187">
        <f t="shared" ref="L155:L165" si="52">+J155-K155</f>
        <v>-450.7071762076107</v>
      </c>
      <c r="M155" s="188">
        <f t="shared" si="48"/>
        <v>-36.980534497980941</v>
      </c>
      <c r="N155" s="189">
        <f t="shared" si="49"/>
        <v>-487.68771070559166</v>
      </c>
      <c r="O155" s="188">
        <v>0</v>
      </c>
      <c r="P155" s="188">
        <v>0</v>
      </c>
      <c r="Q155" s="188">
        <v>0</v>
      </c>
      <c r="R155" s="189">
        <f t="shared" si="50"/>
        <v>-487.68771070559166</v>
      </c>
    </row>
    <row r="156" spans="1:19" x14ac:dyDescent="0.25">
      <c r="A156" s="146">
        <v>5</v>
      </c>
      <c r="B156" s="181">
        <f t="shared" si="45"/>
        <v>45047</v>
      </c>
      <c r="C156" s="201">
        <f t="shared" si="51"/>
        <v>45082</v>
      </c>
      <c r="D156" s="201">
        <f t="shared" si="51"/>
        <v>45103</v>
      </c>
      <c r="E156" s="209" t="s">
        <v>53</v>
      </c>
      <c r="F156" s="146">
        <v>9</v>
      </c>
      <c r="G156" s="183">
        <v>125</v>
      </c>
      <c r="H156" s="184">
        <f t="shared" si="46"/>
        <v>17.534722508656106</v>
      </c>
      <c r="I156" s="184">
        <f t="shared" si="44"/>
        <v>12.581896396484561</v>
      </c>
      <c r="J156" s="185">
        <f t="shared" si="47"/>
        <v>1572.7370495605701</v>
      </c>
      <c r="K156" s="186">
        <f t="shared" si="41"/>
        <v>2191.8403135820131</v>
      </c>
      <c r="L156" s="187">
        <f t="shared" si="52"/>
        <v>-619.10326402144301</v>
      </c>
      <c r="M156" s="188">
        <f t="shared" si="48"/>
        <v>-50.797437497226568</v>
      </c>
      <c r="N156" s="189">
        <f t="shared" si="49"/>
        <v>-669.90070151866962</v>
      </c>
      <c r="O156" s="188">
        <v>0</v>
      </c>
      <c r="P156" s="188">
        <v>0</v>
      </c>
      <c r="Q156" s="188">
        <v>0</v>
      </c>
      <c r="R156" s="189">
        <f t="shared" si="50"/>
        <v>-669.90070151866962</v>
      </c>
    </row>
    <row r="157" spans="1:19" x14ac:dyDescent="0.25">
      <c r="A157" s="146">
        <v>6</v>
      </c>
      <c r="B157" s="181">
        <f t="shared" si="45"/>
        <v>45078</v>
      </c>
      <c r="C157" s="201">
        <f t="shared" si="51"/>
        <v>45112</v>
      </c>
      <c r="D157" s="201">
        <f t="shared" si="51"/>
        <v>45131</v>
      </c>
      <c r="E157" s="209" t="s">
        <v>53</v>
      </c>
      <c r="F157" s="146">
        <v>9</v>
      </c>
      <c r="G157" s="183">
        <v>167</v>
      </c>
      <c r="H157" s="184">
        <f t="shared" si="46"/>
        <v>17.534722508656106</v>
      </c>
      <c r="I157" s="184">
        <f t="shared" si="44"/>
        <v>12.581896396484561</v>
      </c>
      <c r="J157" s="185">
        <f t="shared" si="47"/>
        <v>2101.1766982129216</v>
      </c>
      <c r="K157" s="186">
        <f t="shared" si="41"/>
        <v>2928.2986589455695</v>
      </c>
      <c r="L157" s="191">
        <f t="shared" si="52"/>
        <v>-827.12196073264795</v>
      </c>
      <c r="M157" s="188">
        <f t="shared" si="48"/>
        <v>-67.865376496294687</v>
      </c>
      <c r="N157" s="189">
        <f t="shared" si="49"/>
        <v>-894.98733722894258</v>
      </c>
      <c r="O157" s="188">
        <v>0</v>
      </c>
      <c r="P157" s="188">
        <v>0</v>
      </c>
      <c r="Q157" s="188">
        <v>0</v>
      </c>
      <c r="R157" s="189">
        <f t="shared" si="50"/>
        <v>-894.98733722894258</v>
      </c>
    </row>
    <row r="158" spans="1:19" x14ac:dyDescent="0.25">
      <c r="A158" s="110">
        <v>7</v>
      </c>
      <c r="B158" s="181">
        <f t="shared" si="45"/>
        <v>45108</v>
      </c>
      <c r="C158" s="201">
        <f t="shared" si="51"/>
        <v>45141</v>
      </c>
      <c r="D158" s="201">
        <f t="shared" si="51"/>
        <v>45162</v>
      </c>
      <c r="E158" s="209" t="s">
        <v>53</v>
      </c>
      <c r="F158" s="146">
        <v>9</v>
      </c>
      <c r="G158" s="183">
        <v>160</v>
      </c>
      <c r="H158" s="184">
        <f t="shared" si="46"/>
        <v>17.534722508656106</v>
      </c>
      <c r="I158" s="184">
        <f t="shared" si="44"/>
        <v>12.581896396484561</v>
      </c>
      <c r="J158" s="185">
        <f t="shared" si="47"/>
        <v>2013.1034234375297</v>
      </c>
      <c r="K158" s="192">
        <f t="shared" si="41"/>
        <v>2805.5556013849769</v>
      </c>
      <c r="L158" s="191">
        <f t="shared" si="52"/>
        <v>-792.45217794744713</v>
      </c>
      <c r="M158" s="188">
        <f t="shared" si="48"/>
        <v>-65.020719996449998</v>
      </c>
      <c r="N158" s="189">
        <f t="shared" si="49"/>
        <v>-857.47289794389712</v>
      </c>
      <c r="O158" s="188">
        <v>0</v>
      </c>
      <c r="P158" s="188">
        <v>0</v>
      </c>
      <c r="Q158" s="188">
        <v>0</v>
      </c>
      <c r="R158" s="189">
        <f t="shared" si="50"/>
        <v>-857.47289794389712</v>
      </c>
    </row>
    <row r="159" spans="1:19" x14ac:dyDescent="0.25">
      <c r="A159" s="146">
        <v>8</v>
      </c>
      <c r="B159" s="181">
        <f t="shared" si="45"/>
        <v>45139</v>
      </c>
      <c r="C159" s="201">
        <f t="shared" si="51"/>
        <v>45174</v>
      </c>
      <c r="D159" s="201">
        <f t="shared" si="51"/>
        <v>45194</v>
      </c>
      <c r="E159" s="209" t="s">
        <v>53</v>
      </c>
      <c r="F159" s="110">
        <v>9</v>
      </c>
      <c r="G159" s="183">
        <v>181</v>
      </c>
      <c r="H159" s="184">
        <f t="shared" si="46"/>
        <v>17.534722508656106</v>
      </c>
      <c r="I159" s="184">
        <f t="shared" si="44"/>
        <v>12.581896396484561</v>
      </c>
      <c r="J159" s="185">
        <f t="shared" si="47"/>
        <v>2277.3232477637057</v>
      </c>
      <c r="K159" s="192">
        <f t="shared" si="41"/>
        <v>3173.7847740667553</v>
      </c>
      <c r="L159" s="191">
        <f t="shared" si="52"/>
        <v>-896.4615263030496</v>
      </c>
      <c r="M159" s="188">
        <f t="shared" si="48"/>
        <v>-73.554689495984064</v>
      </c>
      <c r="N159" s="189">
        <f t="shared" si="49"/>
        <v>-970.01621579903372</v>
      </c>
      <c r="O159" s="188">
        <v>0</v>
      </c>
      <c r="P159" s="188">
        <v>0</v>
      </c>
      <c r="Q159" s="188">
        <v>0</v>
      </c>
      <c r="R159" s="189">
        <f t="shared" si="50"/>
        <v>-970.01621579903372</v>
      </c>
      <c r="S159" s="50"/>
    </row>
    <row r="160" spans="1:19" x14ac:dyDescent="0.25">
      <c r="A160" s="146">
        <v>9</v>
      </c>
      <c r="B160" s="181">
        <f t="shared" si="45"/>
        <v>45170</v>
      </c>
      <c r="C160" s="201">
        <f t="shared" si="51"/>
        <v>45203</v>
      </c>
      <c r="D160" s="201">
        <f t="shared" si="51"/>
        <v>45223</v>
      </c>
      <c r="E160" s="209" t="s">
        <v>53</v>
      </c>
      <c r="F160" s="110">
        <v>9</v>
      </c>
      <c r="G160" s="183">
        <v>157</v>
      </c>
      <c r="H160" s="184">
        <f t="shared" si="46"/>
        <v>17.534722508656106</v>
      </c>
      <c r="I160" s="184">
        <f t="shared" si="44"/>
        <v>12.581896396484561</v>
      </c>
      <c r="J160" s="185">
        <f t="shared" si="47"/>
        <v>1975.3577342480762</v>
      </c>
      <c r="K160" s="192">
        <f t="shared" si="41"/>
        <v>2752.9514338590088</v>
      </c>
      <c r="L160" s="191">
        <f t="shared" si="52"/>
        <v>-777.59369961093262</v>
      </c>
      <c r="M160" s="188">
        <f t="shared" si="48"/>
        <v>-63.801581496516562</v>
      </c>
      <c r="N160" s="189">
        <f t="shared" si="49"/>
        <v>-841.39528110744914</v>
      </c>
      <c r="O160" s="188">
        <v>0</v>
      </c>
      <c r="P160" s="188">
        <v>0</v>
      </c>
      <c r="Q160" s="188">
        <v>0</v>
      </c>
      <c r="R160" s="189">
        <f t="shared" si="50"/>
        <v>-841.39528110744914</v>
      </c>
    </row>
    <row r="161" spans="1:19" x14ac:dyDescent="0.25">
      <c r="A161" s="110">
        <v>10</v>
      </c>
      <c r="B161" s="181">
        <f t="shared" si="45"/>
        <v>45200</v>
      </c>
      <c r="C161" s="201">
        <f t="shared" si="51"/>
        <v>45233</v>
      </c>
      <c r="D161" s="201">
        <f t="shared" si="51"/>
        <v>45254</v>
      </c>
      <c r="E161" s="209" t="s">
        <v>53</v>
      </c>
      <c r="F161" s="110">
        <v>9</v>
      </c>
      <c r="G161" s="183">
        <v>118</v>
      </c>
      <c r="H161" s="184">
        <f t="shared" si="46"/>
        <v>17.534722508656106</v>
      </c>
      <c r="I161" s="184">
        <f t="shared" si="44"/>
        <v>12.581896396484561</v>
      </c>
      <c r="J161" s="185">
        <f t="shared" si="47"/>
        <v>1484.6637747851782</v>
      </c>
      <c r="K161" s="192">
        <f t="shared" si="41"/>
        <v>2069.0972560214204</v>
      </c>
      <c r="L161" s="191">
        <f t="shared" si="52"/>
        <v>-584.43348123624219</v>
      </c>
      <c r="M161" s="188">
        <f t="shared" si="48"/>
        <v>-47.952780997381879</v>
      </c>
      <c r="N161" s="189">
        <f t="shared" si="49"/>
        <v>-632.38626223362405</v>
      </c>
      <c r="O161" s="188">
        <v>0</v>
      </c>
      <c r="P161" s="188">
        <v>0</v>
      </c>
      <c r="Q161" s="188">
        <v>0</v>
      </c>
      <c r="R161" s="189">
        <f t="shared" si="50"/>
        <v>-632.38626223362405</v>
      </c>
    </row>
    <row r="162" spans="1:19" x14ac:dyDescent="0.25">
      <c r="A162" s="146">
        <v>11</v>
      </c>
      <c r="B162" s="181">
        <f t="shared" si="45"/>
        <v>45231</v>
      </c>
      <c r="C162" s="201">
        <f t="shared" si="51"/>
        <v>45266</v>
      </c>
      <c r="D162" s="201">
        <f t="shared" si="51"/>
        <v>45285</v>
      </c>
      <c r="E162" s="209" t="s">
        <v>53</v>
      </c>
      <c r="F162" s="110">
        <v>9</v>
      </c>
      <c r="G162" s="183">
        <v>102</v>
      </c>
      <c r="H162" s="184">
        <f t="shared" si="46"/>
        <v>17.534722508656106</v>
      </c>
      <c r="I162" s="184">
        <f t="shared" si="44"/>
        <v>12.581896396484561</v>
      </c>
      <c r="J162" s="185">
        <f t="shared" si="47"/>
        <v>1283.3534324414252</v>
      </c>
      <c r="K162" s="192">
        <f t="shared" si="41"/>
        <v>1788.5416958829228</v>
      </c>
      <c r="L162" s="191">
        <f t="shared" si="52"/>
        <v>-505.18826344149761</v>
      </c>
      <c r="M162" s="188">
        <f t="shared" si="48"/>
        <v>-41.450708997736875</v>
      </c>
      <c r="N162" s="189">
        <f t="shared" si="49"/>
        <v>-546.63897243923452</v>
      </c>
      <c r="O162" s="188">
        <v>0</v>
      </c>
      <c r="P162" s="188">
        <v>0</v>
      </c>
      <c r="Q162" s="188">
        <v>0</v>
      </c>
      <c r="R162" s="189">
        <f t="shared" si="50"/>
        <v>-546.63897243923452</v>
      </c>
    </row>
    <row r="163" spans="1:19" s="205" customFormat="1" x14ac:dyDescent="0.25">
      <c r="A163" s="146">
        <v>12</v>
      </c>
      <c r="B163" s="203">
        <f t="shared" si="45"/>
        <v>45261</v>
      </c>
      <c r="C163" s="201">
        <f t="shared" si="51"/>
        <v>45294</v>
      </c>
      <c r="D163" s="201">
        <f t="shared" si="51"/>
        <v>45315</v>
      </c>
      <c r="E163" s="210" t="s">
        <v>53</v>
      </c>
      <c r="F163" s="157">
        <v>9</v>
      </c>
      <c r="G163" s="183">
        <v>99</v>
      </c>
      <c r="H163" s="193">
        <f t="shared" si="46"/>
        <v>17.534722508656106</v>
      </c>
      <c r="I163" s="193">
        <f t="shared" si="44"/>
        <v>12.581896396484561</v>
      </c>
      <c r="J163" s="194">
        <f t="shared" si="47"/>
        <v>1245.6077432519714</v>
      </c>
      <c r="K163" s="195">
        <f t="shared" si="41"/>
        <v>1735.9375283569545</v>
      </c>
      <c r="L163" s="196">
        <f t="shared" si="52"/>
        <v>-490.3297851049831</v>
      </c>
      <c r="M163" s="188">
        <f t="shared" si="48"/>
        <v>-40.231570497803439</v>
      </c>
      <c r="N163" s="189">
        <f t="shared" si="49"/>
        <v>-530.56135560278653</v>
      </c>
      <c r="O163" s="188">
        <v>0</v>
      </c>
      <c r="P163" s="188">
        <v>0</v>
      </c>
      <c r="Q163" s="188">
        <v>0</v>
      </c>
      <c r="R163" s="189">
        <f t="shared" si="50"/>
        <v>-530.56135560278653</v>
      </c>
    </row>
    <row r="164" spans="1:19" x14ac:dyDescent="0.25">
      <c r="A164" s="110">
        <v>1</v>
      </c>
      <c r="B164" s="181">
        <f t="shared" si="45"/>
        <v>44927</v>
      </c>
      <c r="C164" s="198">
        <f t="shared" si="51"/>
        <v>44960</v>
      </c>
      <c r="D164" s="198">
        <f t="shared" si="51"/>
        <v>44981</v>
      </c>
      <c r="E164" s="208" t="s">
        <v>54</v>
      </c>
      <c r="F164" s="110">
        <v>9</v>
      </c>
      <c r="G164" s="183">
        <v>7</v>
      </c>
      <c r="H164" s="184">
        <f t="shared" si="46"/>
        <v>17.534722508656106</v>
      </c>
      <c r="I164" s="184">
        <f t="shared" si="44"/>
        <v>12.581896396484561</v>
      </c>
      <c r="J164" s="185">
        <f t="shared" si="47"/>
        <v>88.073274775391923</v>
      </c>
      <c r="K164" s="186">
        <f t="shared" si="41"/>
        <v>122.74305756059275</v>
      </c>
      <c r="L164" s="187">
        <f t="shared" si="52"/>
        <v>-34.669782785200823</v>
      </c>
      <c r="M164" s="188">
        <f t="shared" si="48"/>
        <v>-2.8446564998446875</v>
      </c>
      <c r="N164" s="189">
        <f t="shared" si="49"/>
        <v>-37.514439285045512</v>
      </c>
      <c r="O164" s="188">
        <v>0</v>
      </c>
      <c r="P164" s="188">
        <v>0</v>
      </c>
      <c r="Q164" s="188">
        <v>0</v>
      </c>
      <c r="R164" s="189">
        <f t="shared" si="50"/>
        <v>-37.514439285045512</v>
      </c>
    </row>
    <row r="165" spans="1:19" x14ac:dyDescent="0.25">
      <c r="A165" s="146">
        <v>2</v>
      </c>
      <c r="B165" s="181">
        <f t="shared" si="45"/>
        <v>44958</v>
      </c>
      <c r="C165" s="201">
        <f t="shared" si="51"/>
        <v>44988</v>
      </c>
      <c r="D165" s="201">
        <f t="shared" si="51"/>
        <v>45009</v>
      </c>
      <c r="E165" s="209" t="s">
        <v>54</v>
      </c>
      <c r="F165" s="146">
        <v>9</v>
      </c>
      <c r="G165" s="183">
        <v>10</v>
      </c>
      <c r="H165" s="184">
        <f t="shared" si="46"/>
        <v>17.534722508656106</v>
      </c>
      <c r="I165" s="184">
        <f t="shared" si="44"/>
        <v>12.581896396484561</v>
      </c>
      <c r="J165" s="185">
        <f t="shared" si="47"/>
        <v>125.81896396484561</v>
      </c>
      <c r="K165" s="186">
        <f t="shared" si="41"/>
        <v>175.34722508656105</v>
      </c>
      <c r="L165" s="187">
        <f t="shared" si="52"/>
        <v>-49.528261121715445</v>
      </c>
      <c r="M165" s="188">
        <f t="shared" si="48"/>
        <v>-4.0637949997781249</v>
      </c>
      <c r="N165" s="189">
        <f t="shared" si="49"/>
        <v>-53.59205612149357</v>
      </c>
      <c r="O165" s="188">
        <v>0</v>
      </c>
      <c r="P165" s="188">
        <v>0</v>
      </c>
      <c r="Q165" s="188">
        <v>0</v>
      </c>
      <c r="R165" s="189">
        <f t="shared" si="50"/>
        <v>-53.59205612149357</v>
      </c>
    </row>
    <row r="166" spans="1:19" x14ac:dyDescent="0.25">
      <c r="A166" s="146">
        <v>3</v>
      </c>
      <c r="B166" s="181">
        <f t="shared" si="45"/>
        <v>44986</v>
      </c>
      <c r="C166" s="201">
        <f t="shared" si="51"/>
        <v>45021</v>
      </c>
      <c r="D166" s="201">
        <f t="shared" si="51"/>
        <v>45040</v>
      </c>
      <c r="E166" s="209" t="s">
        <v>54</v>
      </c>
      <c r="F166" s="146">
        <v>9</v>
      </c>
      <c r="G166" s="183">
        <v>8</v>
      </c>
      <c r="H166" s="184">
        <f t="shared" si="46"/>
        <v>17.534722508656106</v>
      </c>
      <c r="I166" s="184">
        <f t="shared" si="44"/>
        <v>12.581896396484561</v>
      </c>
      <c r="J166" s="185">
        <f t="shared" si="47"/>
        <v>100.65517117187649</v>
      </c>
      <c r="K166" s="186">
        <f t="shared" si="41"/>
        <v>140.27778006924885</v>
      </c>
      <c r="L166" s="187">
        <f>+J166-K166</f>
        <v>-39.622608897372359</v>
      </c>
      <c r="M166" s="188">
        <f t="shared" si="48"/>
        <v>-3.2510359998224998</v>
      </c>
      <c r="N166" s="189">
        <f t="shared" si="49"/>
        <v>-42.873644897194858</v>
      </c>
      <c r="O166" s="188">
        <v>0</v>
      </c>
      <c r="P166" s="188">
        <v>0</v>
      </c>
      <c r="Q166" s="188">
        <v>0</v>
      </c>
      <c r="R166" s="189">
        <f t="shared" si="50"/>
        <v>-42.873644897194858</v>
      </c>
    </row>
    <row r="167" spans="1:19" x14ac:dyDescent="0.25">
      <c r="A167" s="110">
        <v>4</v>
      </c>
      <c r="B167" s="181">
        <f t="shared" si="45"/>
        <v>45017</v>
      </c>
      <c r="C167" s="201">
        <f t="shared" si="51"/>
        <v>45049</v>
      </c>
      <c r="D167" s="201">
        <f t="shared" si="51"/>
        <v>45070</v>
      </c>
      <c r="E167" s="209" t="s">
        <v>54</v>
      </c>
      <c r="F167" s="146">
        <v>9</v>
      </c>
      <c r="G167" s="183">
        <v>8</v>
      </c>
      <c r="H167" s="184">
        <f t="shared" si="46"/>
        <v>17.534722508656106</v>
      </c>
      <c r="I167" s="184">
        <f t="shared" si="44"/>
        <v>12.581896396484561</v>
      </c>
      <c r="J167" s="185">
        <f t="shared" si="47"/>
        <v>100.65517117187649</v>
      </c>
      <c r="K167" s="186">
        <f t="shared" si="41"/>
        <v>140.27778006924885</v>
      </c>
      <c r="L167" s="187">
        <f t="shared" ref="L167:L177" si="53">+J167-K167</f>
        <v>-39.622608897372359</v>
      </c>
      <c r="M167" s="188">
        <f t="shared" si="48"/>
        <v>-3.2510359998224998</v>
      </c>
      <c r="N167" s="189">
        <f t="shared" si="49"/>
        <v>-42.873644897194858</v>
      </c>
      <c r="O167" s="188">
        <v>0</v>
      </c>
      <c r="P167" s="188">
        <v>0</v>
      </c>
      <c r="Q167" s="188">
        <v>0</v>
      </c>
      <c r="R167" s="189">
        <f t="shared" si="50"/>
        <v>-42.873644897194858</v>
      </c>
    </row>
    <row r="168" spans="1:19" x14ac:dyDescent="0.25">
      <c r="A168" s="146">
        <v>5</v>
      </c>
      <c r="B168" s="181">
        <f t="shared" si="45"/>
        <v>45047</v>
      </c>
      <c r="C168" s="201">
        <f t="shared" si="51"/>
        <v>45082</v>
      </c>
      <c r="D168" s="201">
        <f t="shared" si="51"/>
        <v>45103</v>
      </c>
      <c r="E168" s="209" t="s">
        <v>54</v>
      </c>
      <c r="F168" s="146">
        <v>9</v>
      </c>
      <c r="G168" s="183">
        <v>10</v>
      </c>
      <c r="H168" s="184">
        <f t="shared" si="46"/>
        <v>17.534722508656106</v>
      </c>
      <c r="I168" s="184">
        <f t="shared" si="44"/>
        <v>12.581896396484561</v>
      </c>
      <c r="J168" s="185">
        <f t="shared" si="47"/>
        <v>125.81896396484561</v>
      </c>
      <c r="K168" s="186">
        <f t="shared" si="41"/>
        <v>175.34722508656105</v>
      </c>
      <c r="L168" s="187">
        <f t="shared" si="53"/>
        <v>-49.528261121715445</v>
      </c>
      <c r="M168" s="188">
        <f t="shared" si="48"/>
        <v>-4.0637949997781249</v>
      </c>
      <c r="N168" s="189">
        <f t="shared" si="49"/>
        <v>-53.59205612149357</v>
      </c>
      <c r="O168" s="188">
        <v>0</v>
      </c>
      <c r="P168" s="188">
        <v>0</v>
      </c>
      <c r="Q168" s="188">
        <v>0</v>
      </c>
      <c r="R168" s="189">
        <f t="shared" si="50"/>
        <v>-53.59205612149357</v>
      </c>
    </row>
    <row r="169" spans="1:19" x14ac:dyDescent="0.25">
      <c r="A169" s="146">
        <v>6</v>
      </c>
      <c r="B169" s="181">
        <f t="shared" si="45"/>
        <v>45078</v>
      </c>
      <c r="C169" s="201">
        <f t="shared" si="51"/>
        <v>45112</v>
      </c>
      <c r="D169" s="201">
        <f t="shared" si="51"/>
        <v>45131</v>
      </c>
      <c r="E169" s="209" t="s">
        <v>54</v>
      </c>
      <c r="F169" s="146">
        <v>9</v>
      </c>
      <c r="G169" s="183">
        <v>12</v>
      </c>
      <c r="H169" s="184">
        <f t="shared" si="46"/>
        <v>17.534722508656106</v>
      </c>
      <c r="I169" s="184">
        <f t="shared" si="44"/>
        <v>12.581896396484561</v>
      </c>
      <c r="J169" s="185">
        <f t="shared" si="47"/>
        <v>150.98275675781474</v>
      </c>
      <c r="K169" s="186">
        <f t="shared" si="41"/>
        <v>210.41667010387329</v>
      </c>
      <c r="L169" s="191">
        <f t="shared" si="53"/>
        <v>-59.433913346058546</v>
      </c>
      <c r="M169" s="188">
        <f t="shared" si="48"/>
        <v>-4.8765539997337504</v>
      </c>
      <c r="N169" s="189">
        <f t="shared" si="49"/>
        <v>-64.31046734579229</v>
      </c>
      <c r="O169" s="188">
        <v>0</v>
      </c>
      <c r="P169" s="188">
        <v>0</v>
      </c>
      <c r="Q169" s="188">
        <v>0</v>
      </c>
      <c r="R169" s="189">
        <f t="shared" si="50"/>
        <v>-64.31046734579229</v>
      </c>
    </row>
    <row r="170" spans="1:19" x14ac:dyDescent="0.25">
      <c r="A170" s="110">
        <v>7</v>
      </c>
      <c r="B170" s="181">
        <f t="shared" si="45"/>
        <v>45108</v>
      </c>
      <c r="C170" s="201">
        <f t="shared" si="51"/>
        <v>45141</v>
      </c>
      <c r="D170" s="201">
        <f t="shared" si="51"/>
        <v>45162</v>
      </c>
      <c r="E170" s="209" t="s">
        <v>54</v>
      </c>
      <c r="F170" s="146">
        <v>9</v>
      </c>
      <c r="G170" s="183">
        <v>14</v>
      </c>
      <c r="H170" s="184">
        <f t="shared" si="46"/>
        <v>17.534722508656106</v>
      </c>
      <c r="I170" s="184">
        <f t="shared" si="44"/>
        <v>12.581896396484561</v>
      </c>
      <c r="J170" s="185">
        <f t="shared" si="47"/>
        <v>176.14654955078385</v>
      </c>
      <c r="K170" s="192">
        <f t="shared" si="41"/>
        <v>245.48611512118549</v>
      </c>
      <c r="L170" s="191">
        <f t="shared" si="53"/>
        <v>-69.339565570401646</v>
      </c>
      <c r="M170" s="188">
        <f t="shared" si="48"/>
        <v>-5.689312999689375</v>
      </c>
      <c r="N170" s="189">
        <f t="shared" si="49"/>
        <v>-75.028878570091024</v>
      </c>
      <c r="O170" s="188">
        <v>0</v>
      </c>
      <c r="P170" s="188">
        <v>0</v>
      </c>
      <c r="Q170" s="188">
        <v>0</v>
      </c>
      <c r="R170" s="189">
        <f t="shared" si="50"/>
        <v>-75.028878570091024</v>
      </c>
    </row>
    <row r="171" spans="1:19" x14ac:dyDescent="0.25">
      <c r="A171" s="146">
        <v>8</v>
      </c>
      <c r="B171" s="181">
        <f t="shared" si="45"/>
        <v>45139</v>
      </c>
      <c r="C171" s="201">
        <f t="shared" si="51"/>
        <v>45174</v>
      </c>
      <c r="D171" s="201">
        <f t="shared" si="51"/>
        <v>45194</v>
      </c>
      <c r="E171" s="209" t="s">
        <v>54</v>
      </c>
      <c r="F171" s="110">
        <v>9</v>
      </c>
      <c r="G171" s="183">
        <v>13</v>
      </c>
      <c r="H171" s="184">
        <f t="shared" si="46"/>
        <v>17.534722508656106</v>
      </c>
      <c r="I171" s="184">
        <f t="shared" si="44"/>
        <v>12.581896396484561</v>
      </c>
      <c r="J171" s="185">
        <f t="shared" si="47"/>
        <v>163.56465315429929</v>
      </c>
      <c r="K171" s="192">
        <f t="shared" si="41"/>
        <v>227.95139261252939</v>
      </c>
      <c r="L171" s="191">
        <f t="shared" si="53"/>
        <v>-64.386739458230096</v>
      </c>
      <c r="M171" s="188">
        <f t="shared" si="48"/>
        <v>-5.2829334997115618</v>
      </c>
      <c r="N171" s="189">
        <f t="shared" si="49"/>
        <v>-69.669672957941657</v>
      </c>
      <c r="O171" s="188">
        <v>0</v>
      </c>
      <c r="P171" s="188">
        <v>0</v>
      </c>
      <c r="Q171" s="188">
        <v>0</v>
      </c>
      <c r="R171" s="189">
        <f t="shared" si="50"/>
        <v>-69.669672957941657</v>
      </c>
      <c r="S171" s="50"/>
    </row>
    <row r="172" spans="1:19" x14ac:dyDescent="0.25">
      <c r="A172" s="146">
        <v>9</v>
      </c>
      <c r="B172" s="181">
        <f t="shared" si="45"/>
        <v>45170</v>
      </c>
      <c r="C172" s="201">
        <f t="shared" ref="C172:D175" si="54">+C160</f>
        <v>45203</v>
      </c>
      <c r="D172" s="201">
        <f t="shared" si="54"/>
        <v>45223</v>
      </c>
      <c r="E172" s="209" t="s">
        <v>54</v>
      </c>
      <c r="F172" s="110">
        <v>9</v>
      </c>
      <c r="G172" s="183">
        <v>13</v>
      </c>
      <c r="H172" s="184">
        <f t="shared" si="46"/>
        <v>17.534722508656106</v>
      </c>
      <c r="I172" s="184">
        <f t="shared" si="44"/>
        <v>12.581896396484561</v>
      </c>
      <c r="J172" s="185">
        <f t="shared" si="47"/>
        <v>163.56465315429929</v>
      </c>
      <c r="K172" s="192">
        <f t="shared" si="41"/>
        <v>227.95139261252939</v>
      </c>
      <c r="L172" s="191">
        <f t="shared" si="53"/>
        <v>-64.386739458230096</v>
      </c>
      <c r="M172" s="188">
        <f t="shared" si="48"/>
        <v>-5.2829334997115618</v>
      </c>
      <c r="N172" s="189">
        <f t="shared" si="49"/>
        <v>-69.669672957941657</v>
      </c>
      <c r="O172" s="188">
        <v>0</v>
      </c>
      <c r="P172" s="188">
        <v>0</v>
      </c>
      <c r="Q172" s="188">
        <v>0</v>
      </c>
      <c r="R172" s="189">
        <f t="shared" si="50"/>
        <v>-69.669672957941657</v>
      </c>
    </row>
    <row r="173" spans="1:19" x14ac:dyDescent="0.25">
      <c r="A173" s="110">
        <v>10</v>
      </c>
      <c r="B173" s="181">
        <f t="shared" si="45"/>
        <v>45200</v>
      </c>
      <c r="C173" s="201">
        <f t="shared" si="54"/>
        <v>45233</v>
      </c>
      <c r="D173" s="201">
        <f t="shared" si="54"/>
        <v>45254</v>
      </c>
      <c r="E173" s="209" t="s">
        <v>54</v>
      </c>
      <c r="F173" s="110">
        <v>9</v>
      </c>
      <c r="G173" s="183">
        <v>11</v>
      </c>
      <c r="H173" s="184">
        <f t="shared" si="46"/>
        <v>17.534722508656106</v>
      </c>
      <c r="I173" s="184">
        <f t="shared" si="44"/>
        <v>12.581896396484561</v>
      </c>
      <c r="J173" s="185">
        <f t="shared" si="47"/>
        <v>138.40086036133016</v>
      </c>
      <c r="K173" s="192">
        <f t="shared" si="41"/>
        <v>192.88194759521716</v>
      </c>
      <c r="L173" s="191">
        <f t="shared" si="53"/>
        <v>-54.481087233886996</v>
      </c>
      <c r="M173" s="188">
        <f t="shared" si="48"/>
        <v>-4.4701744997559381</v>
      </c>
      <c r="N173" s="189">
        <f t="shared" si="49"/>
        <v>-58.951261733642937</v>
      </c>
      <c r="O173" s="188">
        <v>0</v>
      </c>
      <c r="P173" s="188">
        <v>0</v>
      </c>
      <c r="Q173" s="188">
        <v>0</v>
      </c>
      <c r="R173" s="189">
        <f t="shared" si="50"/>
        <v>-58.951261733642937</v>
      </c>
    </row>
    <row r="174" spans="1:19" x14ac:dyDescent="0.25">
      <c r="A174" s="146">
        <v>11</v>
      </c>
      <c r="B174" s="181">
        <f t="shared" si="45"/>
        <v>45231</v>
      </c>
      <c r="C174" s="201">
        <f t="shared" si="54"/>
        <v>45266</v>
      </c>
      <c r="D174" s="201">
        <f t="shared" si="54"/>
        <v>45285</v>
      </c>
      <c r="E174" s="209" t="s">
        <v>54</v>
      </c>
      <c r="F174" s="110">
        <v>9</v>
      </c>
      <c r="G174" s="183">
        <v>7</v>
      </c>
      <c r="H174" s="184">
        <f t="shared" si="46"/>
        <v>17.534722508656106</v>
      </c>
      <c r="I174" s="184">
        <f t="shared" si="44"/>
        <v>12.581896396484561</v>
      </c>
      <c r="J174" s="185">
        <f t="shared" si="47"/>
        <v>88.073274775391923</v>
      </c>
      <c r="K174" s="192">
        <f t="shared" si="41"/>
        <v>122.74305756059275</v>
      </c>
      <c r="L174" s="191">
        <f t="shared" si="53"/>
        <v>-34.669782785200823</v>
      </c>
      <c r="M174" s="188">
        <f t="shared" si="48"/>
        <v>-2.8446564998446875</v>
      </c>
      <c r="N174" s="189">
        <f t="shared" si="49"/>
        <v>-37.514439285045512</v>
      </c>
      <c r="O174" s="188">
        <v>0</v>
      </c>
      <c r="P174" s="188">
        <v>0</v>
      </c>
      <c r="Q174" s="188">
        <v>0</v>
      </c>
      <c r="R174" s="189">
        <f t="shared" si="50"/>
        <v>-37.514439285045512</v>
      </c>
    </row>
    <row r="175" spans="1:19" s="205" customFormat="1" x14ac:dyDescent="0.25">
      <c r="A175" s="146">
        <v>12</v>
      </c>
      <c r="B175" s="203">
        <f t="shared" si="45"/>
        <v>45261</v>
      </c>
      <c r="C175" s="201">
        <f t="shared" si="54"/>
        <v>45294</v>
      </c>
      <c r="D175" s="201">
        <f t="shared" si="54"/>
        <v>45315</v>
      </c>
      <c r="E175" s="210" t="s">
        <v>54</v>
      </c>
      <c r="F175" s="157">
        <v>9</v>
      </c>
      <c r="G175" s="183">
        <v>8</v>
      </c>
      <c r="H175" s="193">
        <f t="shared" si="46"/>
        <v>17.534722508656106</v>
      </c>
      <c r="I175" s="193">
        <f t="shared" si="44"/>
        <v>12.581896396484561</v>
      </c>
      <c r="J175" s="194">
        <f t="shared" si="47"/>
        <v>100.65517117187649</v>
      </c>
      <c r="K175" s="195">
        <f t="shared" si="41"/>
        <v>140.27778006924885</v>
      </c>
      <c r="L175" s="196">
        <f t="shared" si="53"/>
        <v>-39.622608897372359</v>
      </c>
      <c r="M175" s="188">
        <f t="shared" si="48"/>
        <v>-3.2510359998224998</v>
      </c>
      <c r="N175" s="189">
        <f t="shared" si="49"/>
        <v>-42.873644897194858</v>
      </c>
      <c r="O175" s="188">
        <v>0</v>
      </c>
      <c r="P175" s="188">
        <v>0</v>
      </c>
      <c r="Q175" s="188">
        <v>0</v>
      </c>
      <c r="R175" s="189">
        <f t="shared" si="50"/>
        <v>-42.873644897194858</v>
      </c>
    </row>
    <row r="176" spans="1:19" x14ac:dyDescent="0.25">
      <c r="A176" s="110">
        <v>1</v>
      </c>
      <c r="B176" s="181">
        <f t="shared" si="45"/>
        <v>44927</v>
      </c>
      <c r="C176" s="198">
        <f t="shared" ref="C176:D187" si="55">+C152</f>
        <v>44960</v>
      </c>
      <c r="D176" s="198">
        <f t="shared" si="55"/>
        <v>44981</v>
      </c>
      <c r="E176" s="208" t="s">
        <v>55</v>
      </c>
      <c r="F176" s="146">
        <v>9</v>
      </c>
      <c r="G176" s="183">
        <v>21</v>
      </c>
      <c r="H176" s="184">
        <f t="shared" si="46"/>
        <v>17.534722508656106</v>
      </c>
      <c r="I176" s="184">
        <f t="shared" si="44"/>
        <v>12.581896396484561</v>
      </c>
      <c r="J176" s="185">
        <f t="shared" si="47"/>
        <v>264.2198243261758</v>
      </c>
      <c r="K176" s="186">
        <f t="shared" si="41"/>
        <v>368.22917268177821</v>
      </c>
      <c r="L176" s="187">
        <f t="shared" si="53"/>
        <v>-104.00934835560241</v>
      </c>
      <c r="M176" s="188">
        <f t="shared" si="48"/>
        <v>-8.5339694995340629</v>
      </c>
      <c r="N176" s="189">
        <f t="shared" si="49"/>
        <v>-112.54331785513648</v>
      </c>
      <c r="O176" s="188">
        <v>0</v>
      </c>
      <c r="P176" s="188">
        <v>0</v>
      </c>
      <c r="Q176" s="188">
        <v>0</v>
      </c>
      <c r="R176" s="189">
        <f t="shared" si="50"/>
        <v>-112.54331785513648</v>
      </c>
    </row>
    <row r="177" spans="1:18" x14ac:dyDescent="0.25">
      <c r="A177" s="146">
        <v>2</v>
      </c>
      <c r="B177" s="181">
        <f t="shared" si="45"/>
        <v>44958</v>
      </c>
      <c r="C177" s="201">
        <f t="shared" si="55"/>
        <v>44988</v>
      </c>
      <c r="D177" s="201">
        <f t="shared" si="55"/>
        <v>45009</v>
      </c>
      <c r="E177" s="52" t="s">
        <v>55</v>
      </c>
      <c r="F177" s="146">
        <v>9</v>
      </c>
      <c r="G177" s="183">
        <v>21</v>
      </c>
      <c r="H177" s="184">
        <f t="shared" si="46"/>
        <v>17.534722508656106</v>
      </c>
      <c r="I177" s="184">
        <f t="shared" si="44"/>
        <v>12.581896396484561</v>
      </c>
      <c r="J177" s="185">
        <f t="shared" si="47"/>
        <v>264.2198243261758</v>
      </c>
      <c r="K177" s="186">
        <f t="shared" si="41"/>
        <v>368.22917268177821</v>
      </c>
      <c r="L177" s="187">
        <f t="shared" si="53"/>
        <v>-104.00934835560241</v>
      </c>
      <c r="M177" s="188">
        <f t="shared" si="48"/>
        <v>-8.5339694995340629</v>
      </c>
      <c r="N177" s="189">
        <f t="shared" si="49"/>
        <v>-112.54331785513648</v>
      </c>
      <c r="O177" s="188">
        <v>0</v>
      </c>
      <c r="P177" s="188">
        <v>0</v>
      </c>
      <c r="Q177" s="188">
        <v>0</v>
      </c>
      <c r="R177" s="189">
        <f t="shared" si="50"/>
        <v>-112.54331785513648</v>
      </c>
    </row>
    <row r="178" spans="1:18" x14ac:dyDescent="0.25">
      <c r="A178" s="146">
        <v>3</v>
      </c>
      <c r="B178" s="181">
        <f t="shared" si="45"/>
        <v>44986</v>
      </c>
      <c r="C178" s="201">
        <f t="shared" si="55"/>
        <v>45021</v>
      </c>
      <c r="D178" s="201">
        <f t="shared" si="55"/>
        <v>45040</v>
      </c>
      <c r="E178" s="52" t="s">
        <v>55</v>
      </c>
      <c r="F178" s="146">
        <v>9</v>
      </c>
      <c r="G178" s="183">
        <v>19</v>
      </c>
      <c r="H178" s="184">
        <f t="shared" si="46"/>
        <v>17.534722508656106</v>
      </c>
      <c r="I178" s="184">
        <f t="shared" si="44"/>
        <v>12.581896396484561</v>
      </c>
      <c r="J178" s="185">
        <f t="shared" si="47"/>
        <v>239.05603153320666</v>
      </c>
      <c r="K178" s="186">
        <f t="shared" si="41"/>
        <v>333.159727664466</v>
      </c>
      <c r="L178" s="187">
        <f>+J178-K178</f>
        <v>-94.103696131259341</v>
      </c>
      <c r="M178" s="188">
        <f t="shared" si="48"/>
        <v>-7.7212104995784383</v>
      </c>
      <c r="N178" s="189">
        <f t="shared" si="49"/>
        <v>-101.82490663083777</v>
      </c>
      <c r="O178" s="188">
        <v>0</v>
      </c>
      <c r="P178" s="188">
        <v>0</v>
      </c>
      <c r="Q178" s="188">
        <v>0</v>
      </c>
      <c r="R178" s="189">
        <f t="shared" si="50"/>
        <v>-101.82490663083777</v>
      </c>
    </row>
    <row r="179" spans="1:18" x14ac:dyDescent="0.25">
      <c r="A179" s="110">
        <v>4</v>
      </c>
      <c r="B179" s="181">
        <f t="shared" si="45"/>
        <v>45017</v>
      </c>
      <c r="C179" s="201">
        <f t="shared" si="55"/>
        <v>45049</v>
      </c>
      <c r="D179" s="201">
        <f t="shared" si="55"/>
        <v>45070</v>
      </c>
      <c r="E179" s="52" t="s">
        <v>55</v>
      </c>
      <c r="F179" s="146">
        <v>9</v>
      </c>
      <c r="G179" s="183">
        <v>21</v>
      </c>
      <c r="H179" s="184">
        <f t="shared" si="46"/>
        <v>17.534722508656106</v>
      </c>
      <c r="I179" s="184">
        <f t="shared" si="44"/>
        <v>12.581896396484561</v>
      </c>
      <c r="J179" s="185">
        <f t="shared" si="47"/>
        <v>264.2198243261758</v>
      </c>
      <c r="K179" s="186">
        <f t="shared" si="41"/>
        <v>368.22917268177821</v>
      </c>
      <c r="L179" s="187">
        <f t="shared" ref="L179:L189" si="56">+J179-K179</f>
        <v>-104.00934835560241</v>
      </c>
      <c r="M179" s="188">
        <f t="shared" si="48"/>
        <v>-8.5339694995340629</v>
      </c>
      <c r="N179" s="189">
        <f t="shared" si="49"/>
        <v>-112.54331785513648</v>
      </c>
      <c r="O179" s="188">
        <v>0</v>
      </c>
      <c r="P179" s="188">
        <v>0</v>
      </c>
      <c r="Q179" s="188">
        <v>0</v>
      </c>
      <c r="R179" s="189">
        <f t="shared" si="50"/>
        <v>-112.54331785513648</v>
      </c>
    </row>
    <row r="180" spans="1:18" x14ac:dyDescent="0.25">
      <c r="A180" s="146">
        <v>5</v>
      </c>
      <c r="B180" s="181">
        <f t="shared" si="45"/>
        <v>45047</v>
      </c>
      <c r="C180" s="201">
        <f t="shared" si="55"/>
        <v>45082</v>
      </c>
      <c r="D180" s="201">
        <f t="shared" si="55"/>
        <v>45103</v>
      </c>
      <c r="E180" s="52" t="s">
        <v>55</v>
      </c>
      <c r="F180" s="146">
        <v>9</v>
      </c>
      <c r="G180" s="183">
        <v>28</v>
      </c>
      <c r="H180" s="184">
        <f t="shared" si="46"/>
        <v>17.534722508656106</v>
      </c>
      <c r="I180" s="184">
        <f t="shared" ref="I180:I211" si="57">$J$3</f>
        <v>12.581896396484561</v>
      </c>
      <c r="J180" s="185">
        <f t="shared" si="47"/>
        <v>352.29309910156769</v>
      </c>
      <c r="K180" s="186">
        <f t="shared" si="41"/>
        <v>490.97223024237098</v>
      </c>
      <c r="L180" s="187">
        <f t="shared" si="56"/>
        <v>-138.67913114080329</v>
      </c>
      <c r="M180" s="188">
        <f t="shared" si="48"/>
        <v>-11.37862599937875</v>
      </c>
      <c r="N180" s="189">
        <f t="shared" si="49"/>
        <v>-150.05775714018205</v>
      </c>
      <c r="O180" s="188">
        <v>0</v>
      </c>
      <c r="P180" s="188">
        <v>0</v>
      </c>
      <c r="Q180" s="188">
        <v>0</v>
      </c>
      <c r="R180" s="189">
        <f t="shared" si="50"/>
        <v>-150.05775714018205</v>
      </c>
    </row>
    <row r="181" spans="1:18" x14ac:dyDescent="0.25">
      <c r="A181" s="146">
        <v>6</v>
      </c>
      <c r="B181" s="181">
        <f t="shared" si="45"/>
        <v>45078</v>
      </c>
      <c r="C181" s="201">
        <f t="shared" si="55"/>
        <v>45112</v>
      </c>
      <c r="D181" s="201">
        <f t="shared" si="55"/>
        <v>45131</v>
      </c>
      <c r="E181" s="52" t="s">
        <v>55</v>
      </c>
      <c r="F181" s="146">
        <v>9</v>
      </c>
      <c r="G181" s="183">
        <v>37</v>
      </c>
      <c r="H181" s="184">
        <f t="shared" si="46"/>
        <v>17.534722508656106</v>
      </c>
      <c r="I181" s="184">
        <f t="shared" si="57"/>
        <v>12.581896396484561</v>
      </c>
      <c r="J181" s="185">
        <f t="shared" si="47"/>
        <v>465.53016666992875</v>
      </c>
      <c r="K181" s="186">
        <f t="shared" si="41"/>
        <v>648.78473282027596</v>
      </c>
      <c r="L181" s="191">
        <f t="shared" si="56"/>
        <v>-183.25456615034722</v>
      </c>
      <c r="M181" s="188">
        <f t="shared" si="48"/>
        <v>-15.036041499179062</v>
      </c>
      <c r="N181" s="189">
        <f t="shared" si="49"/>
        <v>-198.29060764952627</v>
      </c>
      <c r="O181" s="188">
        <v>0</v>
      </c>
      <c r="P181" s="188">
        <v>0</v>
      </c>
      <c r="Q181" s="188">
        <v>0</v>
      </c>
      <c r="R181" s="189">
        <f t="shared" si="50"/>
        <v>-198.29060764952627</v>
      </c>
    </row>
    <row r="182" spans="1:18" x14ac:dyDescent="0.25">
      <c r="A182" s="110">
        <v>7</v>
      </c>
      <c r="B182" s="181">
        <f t="shared" si="45"/>
        <v>45108</v>
      </c>
      <c r="C182" s="201">
        <f t="shared" si="55"/>
        <v>45141</v>
      </c>
      <c r="D182" s="201">
        <f t="shared" si="55"/>
        <v>45162</v>
      </c>
      <c r="E182" s="52" t="s">
        <v>55</v>
      </c>
      <c r="F182" s="146">
        <v>9</v>
      </c>
      <c r="G182" s="183">
        <v>38</v>
      </c>
      <c r="H182" s="184">
        <f t="shared" si="46"/>
        <v>17.534722508656106</v>
      </c>
      <c r="I182" s="184">
        <f t="shared" si="57"/>
        <v>12.581896396484561</v>
      </c>
      <c r="J182" s="185">
        <f t="shared" si="47"/>
        <v>478.11206306641333</v>
      </c>
      <c r="K182" s="192">
        <f t="shared" si="41"/>
        <v>666.31945532893201</v>
      </c>
      <c r="L182" s="191">
        <f t="shared" si="56"/>
        <v>-188.20739226251868</v>
      </c>
      <c r="M182" s="188">
        <f t="shared" si="48"/>
        <v>-15.442420999156877</v>
      </c>
      <c r="N182" s="189">
        <f t="shared" si="49"/>
        <v>-203.64981326167555</v>
      </c>
      <c r="O182" s="188">
        <v>0</v>
      </c>
      <c r="P182" s="188">
        <v>0</v>
      </c>
      <c r="Q182" s="188">
        <v>0</v>
      </c>
      <c r="R182" s="189">
        <f t="shared" si="50"/>
        <v>-203.64981326167555</v>
      </c>
    </row>
    <row r="183" spans="1:18" x14ac:dyDescent="0.25">
      <c r="A183" s="146">
        <v>8</v>
      </c>
      <c r="B183" s="181">
        <f t="shared" si="45"/>
        <v>45139</v>
      </c>
      <c r="C183" s="201">
        <f t="shared" si="55"/>
        <v>45174</v>
      </c>
      <c r="D183" s="201">
        <f t="shared" si="55"/>
        <v>45194</v>
      </c>
      <c r="E183" s="52" t="s">
        <v>55</v>
      </c>
      <c r="F183" s="146">
        <v>9</v>
      </c>
      <c r="G183" s="183">
        <v>40</v>
      </c>
      <c r="H183" s="184">
        <f t="shared" si="46"/>
        <v>17.534722508656106</v>
      </c>
      <c r="I183" s="184">
        <f t="shared" si="57"/>
        <v>12.581896396484561</v>
      </c>
      <c r="J183" s="185">
        <f t="shared" si="47"/>
        <v>503.27585585938243</v>
      </c>
      <c r="K183" s="192">
        <f t="shared" si="41"/>
        <v>701.38890034624421</v>
      </c>
      <c r="L183" s="191">
        <f t="shared" si="56"/>
        <v>-198.11304448686178</v>
      </c>
      <c r="M183" s="188">
        <f t="shared" si="48"/>
        <v>-16.255179999112499</v>
      </c>
      <c r="N183" s="189">
        <f t="shared" si="49"/>
        <v>-214.36822448597428</v>
      </c>
      <c r="O183" s="188">
        <v>0</v>
      </c>
      <c r="P183" s="188">
        <v>0</v>
      </c>
      <c r="Q183" s="188">
        <v>0</v>
      </c>
      <c r="R183" s="189">
        <f t="shared" si="50"/>
        <v>-214.36822448597428</v>
      </c>
    </row>
    <row r="184" spans="1:18" x14ac:dyDescent="0.25">
      <c r="A184" s="146">
        <v>9</v>
      </c>
      <c r="B184" s="181">
        <f t="shared" si="45"/>
        <v>45170</v>
      </c>
      <c r="C184" s="201">
        <f t="shared" si="55"/>
        <v>45203</v>
      </c>
      <c r="D184" s="201">
        <f t="shared" si="55"/>
        <v>45223</v>
      </c>
      <c r="E184" s="52" t="s">
        <v>55</v>
      </c>
      <c r="F184" s="146">
        <v>9</v>
      </c>
      <c r="G184" s="183">
        <v>37</v>
      </c>
      <c r="H184" s="184">
        <f t="shared" si="46"/>
        <v>17.534722508656106</v>
      </c>
      <c r="I184" s="184">
        <f t="shared" si="57"/>
        <v>12.581896396484561</v>
      </c>
      <c r="J184" s="185">
        <f t="shared" si="47"/>
        <v>465.53016666992875</v>
      </c>
      <c r="K184" s="192">
        <f t="shared" si="41"/>
        <v>648.78473282027596</v>
      </c>
      <c r="L184" s="191">
        <f t="shared" si="56"/>
        <v>-183.25456615034722</v>
      </c>
      <c r="M184" s="188">
        <f t="shared" si="48"/>
        <v>-15.036041499179062</v>
      </c>
      <c r="N184" s="189">
        <f t="shared" si="49"/>
        <v>-198.29060764952627</v>
      </c>
      <c r="O184" s="188">
        <v>0</v>
      </c>
      <c r="P184" s="188">
        <v>0</v>
      </c>
      <c r="Q184" s="188">
        <v>0</v>
      </c>
      <c r="R184" s="189">
        <f t="shared" si="50"/>
        <v>-198.29060764952627</v>
      </c>
    </row>
    <row r="185" spans="1:18" x14ac:dyDescent="0.25">
      <c r="A185" s="110">
        <v>10</v>
      </c>
      <c r="B185" s="181">
        <f t="shared" si="45"/>
        <v>45200</v>
      </c>
      <c r="C185" s="201">
        <f t="shared" si="55"/>
        <v>45233</v>
      </c>
      <c r="D185" s="201">
        <f t="shared" si="55"/>
        <v>45254</v>
      </c>
      <c r="E185" s="52" t="s">
        <v>55</v>
      </c>
      <c r="F185" s="146">
        <v>9</v>
      </c>
      <c r="G185" s="183">
        <v>30</v>
      </c>
      <c r="H185" s="184">
        <f t="shared" si="46"/>
        <v>17.534722508656106</v>
      </c>
      <c r="I185" s="184">
        <f t="shared" si="57"/>
        <v>12.581896396484561</v>
      </c>
      <c r="J185" s="185">
        <f t="shared" si="47"/>
        <v>377.45689189453685</v>
      </c>
      <c r="K185" s="192">
        <f t="shared" si="41"/>
        <v>526.04167525968319</v>
      </c>
      <c r="L185" s="191">
        <f t="shared" si="56"/>
        <v>-148.58478336514634</v>
      </c>
      <c r="M185" s="188">
        <f t="shared" si="48"/>
        <v>-12.191384999334375</v>
      </c>
      <c r="N185" s="189">
        <f t="shared" si="49"/>
        <v>-160.77616836448072</v>
      </c>
      <c r="O185" s="188">
        <v>0</v>
      </c>
      <c r="P185" s="188">
        <v>0</v>
      </c>
      <c r="Q185" s="188">
        <v>0</v>
      </c>
      <c r="R185" s="189">
        <f t="shared" si="50"/>
        <v>-160.77616836448072</v>
      </c>
    </row>
    <row r="186" spans="1:18" x14ac:dyDescent="0.25">
      <c r="A186" s="146">
        <v>11</v>
      </c>
      <c r="B186" s="181">
        <f t="shared" si="45"/>
        <v>45231</v>
      </c>
      <c r="C186" s="201">
        <f t="shared" si="55"/>
        <v>45266</v>
      </c>
      <c r="D186" s="201">
        <f t="shared" si="55"/>
        <v>45285</v>
      </c>
      <c r="E186" s="52" t="s">
        <v>55</v>
      </c>
      <c r="F186" s="146">
        <v>9</v>
      </c>
      <c r="G186" s="183">
        <v>19</v>
      </c>
      <c r="H186" s="184">
        <f t="shared" si="46"/>
        <v>17.534722508656106</v>
      </c>
      <c r="I186" s="184">
        <f t="shared" si="57"/>
        <v>12.581896396484561</v>
      </c>
      <c r="J186" s="185">
        <f t="shared" si="47"/>
        <v>239.05603153320666</v>
      </c>
      <c r="K186" s="192">
        <f t="shared" si="41"/>
        <v>333.159727664466</v>
      </c>
      <c r="L186" s="191">
        <f t="shared" si="56"/>
        <v>-94.103696131259341</v>
      </c>
      <c r="M186" s="188">
        <f t="shared" si="48"/>
        <v>-7.7212104995784383</v>
      </c>
      <c r="N186" s="189">
        <f t="shared" si="49"/>
        <v>-101.82490663083777</v>
      </c>
      <c r="O186" s="188">
        <v>0</v>
      </c>
      <c r="P186" s="188">
        <v>0</v>
      </c>
      <c r="Q186" s="188">
        <v>0</v>
      </c>
      <c r="R186" s="189">
        <f t="shared" si="50"/>
        <v>-101.82490663083777</v>
      </c>
    </row>
    <row r="187" spans="1:18" s="205" customFormat="1" x14ac:dyDescent="0.25">
      <c r="A187" s="146">
        <v>12</v>
      </c>
      <c r="B187" s="203">
        <f t="shared" si="45"/>
        <v>45261</v>
      </c>
      <c r="C187" s="201">
        <f t="shared" si="55"/>
        <v>45294</v>
      </c>
      <c r="D187" s="201">
        <f t="shared" si="55"/>
        <v>45315</v>
      </c>
      <c r="E187" s="204" t="s">
        <v>55</v>
      </c>
      <c r="F187" s="157">
        <v>9</v>
      </c>
      <c r="G187" s="183">
        <v>20</v>
      </c>
      <c r="H187" s="193">
        <f t="shared" si="46"/>
        <v>17.534722508656106</v>
      </c>
      <c r="I187" s="193">
        <f t="shared" si="57"/>
        <v>12.581896396484561</v>
      </c>
      <c r="J187" s="194">
        <f t="shared" si="47"/>
        <v>251.63792792969122</v>
      </c>
      <c r="K187" s="195">
        <f t="shared" si="41"/>
        <v>350.69445017312211</v>
      </c>
      <c r="L187" s="196">
        <f t="shared" si="56"/>
        <v>-99.056522243430891</v>
      </c>
      <c r="M187" s="188">
        <f t="shared" si="48"/>
        <v>-8.1275899995562497</v>
      </c>
      <c r="N187" s="189">
        <f t="shared" si="49"/>
        <v>-107.18411224298714</v>
      </c>
      <c r="O187" s="188">
        <v>0</v>
      </c>
      <c r="P187" s="188">
        <v>0</v>
      </c>
      <c r="Q187" s="188">
        <v>0</v>
      </c>
      <c r="R187" s="189">
        <f t="shared" si="50"/>
        <v>-107.18411224298714</v>
      </c>
    </row>
    <row r="188" spans="1:18" x14ac:dyDescent="0.25">
      <c r="A188" s="110">
        <v>1</v>
      </c>
      <c r="B188" s="181">
        <f t="shared" si="45"/>
        <v>44927</v>
      </c>
      <c r="C188" s="198">
        <f t="shared" ref="C188:D211" si="58">+C176</f>
        <v>44960</v>
      </c>
      <c r="D188" s="198">
        <f t="shared" si="58"/>
        <v>44981</v>
      </c>
      <c r="E188" s="182" t="s">
        <v>56</v>
      </c>
      <c r="F188" s="110">
        <v>9</v>
      </c>
      <c r="G188" s="183">
        <v>36</v>
      </c>
      <c r="H188" s="184">
        <f t="shared" si="46"/>
        <v>17.534722508656106</v>
      </c>
      <c r="I188" s="184">
        <f t="shared" si="57"/>
        <v>12.581896396484561</v>
      </c>
      <c r="J188" s="185">
        <f t="shared" si="47"/>
        <v>452.94827027344422</v>
      </c>
      <c r="K188" s="186">
        <f t="shared" si="41"/>
        <v>631.2500103116198</v>
      </c>
      <c r="L188" s="187">
        <f t="shared" si="56"/>
        <v>-178.30174003817558</v>
      </c>
      <c r="M188" s="188">
        <f t="shared" si="48"/>
        <v>-14.62966199920125</v>
      </c>
      <c r="N188" s="189">
        <f t="shared" si="49"/>
        <v>-192.93140203737684</v>
      </c>
      <c r="O188" s="188">
        <v>0</v>
      </c>
      <c r="P188" s="188">
        <v>0</v>
      </c>
      <c r="Q188" s="188">
        <v>0</v>
      </c>
      <c r="R188" s="189">
        <f t="shared" si="50"/>
        <v>-192.93140203737684</v>
      </c>
    </row>
    <row r="189" spans="1:18" x14ac:dyDescent="0.25">
      <c r="A189" s="146">
        <v>2</v>
      </c>
      <c r="B189" s="181">
        <f t="shared" si="45"/>
        <v>44958</v>
      </c>
      <c r="C189" s="201">
        <f t="shared" si="58"/>
        <v>44988</v>
      </c>
      <c r="D189" s="201">
        <f t="shared" si="58"/>
        <v>45009</v>
      </c>
      <c r="E189" s="190" t="s">
        <v>56</v>
      </c>
      <c r="F189" s="146">
        <v>9</v>
      </c>
      <c r="G189" s="183">
        <v>32</v>
      </c>
      <c r="H189" s="184">
        <f t="shared" si="46"/>
        <v>17.534722508656106</v>
      </c>
      <c r="I189" s="184">
        <f t="shared" si="57"/>
        <v>12.581896396484561</v>
      </c>
      <c r="J189" s="185">
        <f t="shared" si="47"/>
        <v>402.62068468750596</v>
      </c>
      <c r="K189" s="186">
        <f t="shared" si="41"/>
        <v>561.11112027699539</v>
      </c>
      <c r="L189" s="187">
        <f t="shared" si="56"/>
        <v>-158.49043558948944</v>
      </c>
      <c r="M189" s="188">
        <f t="shared" si="48"/>
        <v>-13.004143999289999</v>
      </c>
      <c r="N189" s="189">
        <f t="shared" si="49"/>
        <v>-171.49457958877943</v>
      </c>
      <c r="O189" s="188">
        <v>0</v>
      </c>
      <c r="P189" s="188">
        <v>0</v>
      </c>
      <c r="Q189" s="188">
        <v>0</v>
      </c>
      <c r="R189" s="189">
        <f t="shared" si="50"/>
        <v>-171.49457958877943</v>
      </c>
    </row>
    <row r="190" spans="1:18" x14ac:dyDescent="0.25">
      <c r="A190" s="146">
        <v>3</v>
      </c>
      <c r="B190" s="181">
        <f t="shared" si="45"/>
        <v>44986</v>
      </c>
      <c r="C190" s="201">
        <f t="shared" si="58"/>
        <v>45021</v>
      </c>
      <c r="D190" s="201">
        <f t="shared" si="58"/>
        <v>45040</v>
      </c>
      <c r="E190" s="190" t="s">
        <v>56</v>
      </c>
      <c r="F190" s="146">
        <v>9</v>
      </c>
      <c r="G190" s="183">
        <v>32</v>
      </c>
      <c r="H190" s="184">
        <f t="shared" si="46"/>
        <v>17.534722508656106</v>
      </c>
      <c r="I190" s="184">
        <f t="shared" si="57"/>
        <v>12.581896396484561</v>
      </c>
      <c r="J190" s="185">
        <f t="shared" si="47"/>
        <v>402.62068468750596</v>
      </c>
      <c r="K190" s="186">
        <f t="shared" si="41"/>
        <v>561.11112027699539</v>
      </c>
      <c r="L190" s="187">
        <f>+J190-K190</f>
        <v>-158.49043558948944</v>
      </c>
      <c r="M190" s="188">
        <f t="shared" si="48"/>
        <v>-13.004143999289999</v>
      </c>
      <c r="N190" s="189">
        <f t="shared" si="49"/>
        <v>-171.49457958877943</v>
      </c>
      <c r="O190" s="188">
        <v>0</v>
      </c>
      <c r="P190" s="188">
        <v>0</v>
      </c>
      <c r="Q190" s="188">
        <v>0</v>
      </c>
      <c r="R190" s="189">
        <f t="shared" si="50"/>
        <v>-171.49457958877943</v>
      </c>
    </row>
    <row r="191" spans="1:18" x14ac:dyDescent="0.25">
      <c r="A191" s="110">
        <v>4</v>
      </c>
      <c r="B191" s="181">
        <f t="shared" si="45"/>
        <v>45017</v>
      </c>
      <c r="C191" s="201">
        <f t="shared" si="58"/>
        <v>45049</v>
      </c>
      <c r="D191" s="201">
        <f t="shared" si="58"/>
        <v>45070</v>
      </c>
      <c r="E191" s="52" t="s">
        <v>56</v>
      </c>
      <c r="F191" s="146">
        <v>9</v>
      </c>
      <c r="G191" s="183">
        <v>31</v>
      </c>
      <c r="H191" s="184">
        <f t="shared" si="46"/>
        <v>17.534722508656106</v>
      </c>
      <c r="I191" s="184">
        <f t="shared" si="57"/>
        <v>12.581896396484561</v>
      </c>
      <c r="J191" s="185">
        <f t="shared" si="47"/>
        <v>390.03878829102138</v>
      </c>
      <c r="K191" s="186">
        <f t="shared" si="41"/>
        <v>543.57639776833923</v>
      </c>
      <c r="L191" s="187">
        <f t="shared" ref="L191:L201" si="59">+J191-K191</f>
        <v>-153.53760947731786</v>
      </c>
      <c r="M191" s="188">
        <f t="shared" si="48"/>
        <v>-12.597764499312188</v>
      </c>
      <c r="N191" s="189">
        <f t="shared" si="49"/>
        <v>-166.13537397663004</v>
      </c>
      <c r="O191" s="188">
        <v>0</v>
      </c>
      <c r="P191" s="188">
        <v>0</v>
      </c>
      <c r="Q191" s="188">
        <v>0</v>
      </c>
      <c r="R191" s="189">
        <f t="shared" si="50"/>
        <v>-166.13537397663004</v>
      </c>
    </row>
    <row r="192" spans="1:18" x14ac:dyDescent="0.25">
      <c r="A192" s="146">
        <v>5</v>
      </c>
      <c r="B192" s="181">
        <f t="shared" si="45"/>
        <v>45047</v>
      </c>
      <c r="C192" s="201">
        <f t="shared" si="58"/>
        <v>45082</v>
      </c>
      <c r="D192" s="201">
        <f t="shared" si="58"/>
        <v>45103</v>
      </c>
      <c r="E192" s="52" t="s">
        <v>56</v>
      </c>
      <c r="F192" s="146">
        <v>9</v>
      </c>
      <c r="G192" s="183">
        <v>38</v>
      </c>
      <c r="H192" s="184">
        <f t="shared" si="46"/>
        <v>17.534722508656106</v>
      </c>
      <c r="I192" s="184">
        <f t="shared" si="57"/>
        <v>12.581896396484561</v>
      </c>
      <c r="J192" s="185">
        <f t="shared" si="47"/>
        <v>478.11206306641333</v>
      </c>
      <c r="K192" s="186">
        <f t="shared" si="41"/>
        <v>666.31945532893201</v>
      </c>
      <c r="L192" s="187">
        <f t="shared" si="59"/>
        <v>-188.20739226251868</v>
      </c>
      <c r="M192" s="188">
        <f t="shared" si="48"/>
        <v>-15.442420999156877</v>
      </c>
      <c r="N192" s="189">
        <f t="shared" si="49"/>
        <v>-203.64981326167555</v>
      </c>
      <c r="O192" s="188">
        <v>0</v>
      </c>
      <c r="P192" s="188">
        <v>0</v>
      </c>
      <c r="Q192" s="188">
        <v>0</v>
      </c>
      <c r="R192" s="189">
        <f t="shared" si="50"/>
        <v>-203.64981326167555</v>
      </c>
    </row>
    <row r="193" spans="1:18" x14ac:dyDescent="0.25">
      <c r="A193" s="146">
        <v>6</v>
      </c>
      <c r="B193" s="181">
        <f t="shared" si="45"/>
        <v>45078</v>
      </c>
      <c r="C193" s="201">
        <f t="shared" si="58"/>
        <v>45112</v>
      </c>
      <c r="D193" s="201">
        <f t="shared" si="58"/>
        <v>45131</v>
      </c>
      <c r="E193" s="52" t="s">
        <v>56</v>
      </c>
      <c r="F193" s="146">
        <v>9</v>
      </c>
      <c r="G193" s="183">
        <v>48</v>
      </c>
      <c r="H193" s="184">
        <f t="shared" si="46"/>
        <v>17.534722508656106</v>
      </c>
      <c r="I193" s="184">
        <f t="shared" si="57"/>
        <v>12.581896396484561</v>
      </c>
      <c r="J193" s="185">
        <f t="shared" si="47"/>
        <v>603.93102703125896</v>
      </c>
      <c r="K193" s="186">
        <f t="shared" si="41"/>
        <v>841.66668041549315</v>
      </c>
      <c r="L193" s="191">
        <f t="shared" si="59"/>
        <v>-237.73565338423418</v>
      </c>
      <c r="M193" s="188">
        <f t="shared" si="48"/>
        <v>-19.506215998935001</v>
      </c>
      <c r="N193" s="189">
        <f t="shared" si="49"/>
        <v>-257.24186938316916</v>
      </c>
      <c r="O193" s="188">
        <v>0</v>
      </c>
      <c r="P193" s="188">
        <v>0</v>
      </c>
      <c r="Q193" s="188">
        <v>0</v>
      </c>
      <c r="R193" s="189">
        <f t="shared" si="50"/>
        <v>-257.24186938316916</v>
      </c>
    </row>
    <row r="194" spans="1:18" x14ac:dyDescent="0.25">
      <c r="A194" s="110">
        <v>7</v>
      </c>
      <c r="B194" s="181">
        <f t="shared" si="45"/>
        <v>45108</v>
      </c>
      <c r="C194" s="201">
        <f t="shared" si="58"/>
        <v>45141</v>
      </c>
      <c r="D194" s="201">
        <f t="shared" si="58"/>
        <v>45162</v>
      </c>
      <c r="E194" s="52" t="s">
        <v>56</v>
      </c>
      <c r="F194" s="146">
        <v>9</v>
      </c>
      <c r="G194" s="183">
        <v>49</v>
      </c>
      <c r="H194" s="184">
        <f t="shared" si="46"/>
        <v>17.534722508656106</v>
      </c>
      <c r="I194" s="184">
        <f t="shared" si="57"/>
        <v>12.581896396484561</v>
      </c>
      <c r="J194" s="185">
        <f t="shared" si="47"/>
        <v>616.51292342774354</v>
      </c>
      <c r="K194" s="192">
        <f t="shared" si="41"/>
        <v>859.20140292414919</v>
      </c>
      <c r="L194" s="191">
        <f t="shared" si="59"/>
        <v>-242.68847949640565</v>
      </c>
      <c r="M194" s="188">
        <f t="shared" si="48"/>
        <v>-19.912595498912811</v>
      </c>
      <c r="N194" s="189">
        <f t="shared" si="49"/>
        <v>-262.60107499531847</v>
      </c>
      <c r="O194" s="188">
        <v>0</v>
      </c>
      <c r="P194" s="188">
        <v>0</v>
      </c>
      <c r="Q194" s="188">
        <v>0</v>
      </c>
      <c r="R194" s="189">
        <f t="shared" si="50"/>
        <v>-262.60107499531847</v>
      </c>
    </row>
    <row r="195" spans="1:18" x14ac:dyDescent="0.25">
      <c r="A195" s="146">
        <v>8</v>
      </c>
      <c r="B195" s="181">
        <f t="shared" si="45"/>
        <v>45139</v>
      </c>
      <c r="C195" s="201">
        <f t="shared" si="58"/>
        <v>45174</v>
      </c>
      <c r="D195" s="201">
        <f t="shared" si="58"/>
        <v>45194</v>
      </c>
      <c r="E195" s="52" t="s">
        <v>56</v>
      </c>
      <c r="F195" s="146">
        <v>9</v>
      </c>
      <c r="G195" s="183">
        <v>50</v>
      </c>
      <c r="H195" s="184">
        <f t="shared" si="46"/>
        <v>17.534722508656106</v>
      </c>
      <c r="I195" s="184">
        <f t="shared" si="57"/>
        <v>12.581896396484561</v>
      </c>
      <c r="J195" s="185">
        <f t="shared" si="47"/>
        <v>629.09481982422801</v>
      </c>
      <c r="K195" s="192">
        <f t="shared" si="41"/>
        <v>876.73612543280535</v>
      </c>
      <c r="L195" s="191">
        <f t="shared" si="59"/>
        <v>-247.64130560857734</v>
      </c>
      <c r="M195" s="188">
        <f t="shared" si="48"/>
        <v>-20.318974998890624</v>
      </c>
      <c r="N195" s="189">
        <f t="shared" si="49"/>
        <v>-267.96028060746795</v>
      </c>
      <c r="O195" s="188">
        <v>0</v>
      </c>
      <c r="P195" s="188">
        <v>0</v>
      </c>
      <c r="Q195" s="188">
        <v>0</v>
      </c>
      <c r="R195" s="189">
        <f t="shared" si="50"/>
        <v>-267.96028060746795</v>
      </c>
    </row>
    <row r="196" spans="1:18" x14ac:dyDescent="0.25">
      <c r="A196" s="146">
        <v>9</v>
      </c>
      <c r="B196" s="181">
        <f t="shared" si="45"/>
        <v>45170</v>
      </c>
      <c r="C196" s="201">
        <f t="shared" si="58"/>
        <v>45203</v>
      </c>
      <c r="D196" s="201">
        <f t="shared" si="58"/>
        <v>45223</v>
      </c>
      <c r="E196" s="52" t="s">
        <v>56</v>
      </c>
      <c r="F196" s="146">
        <v>9</v>
      </c>
      <c r="G196" s="183">
        <v>47</v>
      </c>
      <c r="H196" s="184">
        <f t="shared" si="46"/>
        <v>17.534722508656106</v>
      </c>
      <c r="I196" s="184">
        <f t="shared" si="57"/>
        <v>12.581896396484561</v>
      </c>
      <c r="J196" s="185">
        <f t="shared" si="47"/>
        <v>591.34913063477438</v>
      </c>
      <c r="K196" s="192">
        <f t="shared" si="41"/>
        <v>824.13195790683699</v>
      </c>
      <c r="L196" s="191">
        <f t="shared" si="59"/>
        <v>-232.7828272720626</v>
      </c>
      <c r="M196" s="188">
        <f t="shared" si="48"/>
        <v>-19.099836498957188</v>
      </c>
      <c r="N196" s="189">
        <f t="shared" si="49"/>
        <v>-251.88266377101979</v>
      </c>
      <c r="O196" s="188">
        <v>0</v>
      </c>
      <c r="P196" s="188">
        <v>0</v>
      </c>
      <c r="Q196" s="188">
        <v>0</v>
      </c>
      <c r="R196" s="189">
        <f t="shared" si="50"/>
        <v>-251.88266377101979</v>
      </c>
    </row>
    <row r="197" spans="1:18" x14ac:dyDescent="0.25">
      <c r="A197" s="110">
        <v>10</v>
      </c>
      <c r="B197" s="181">
        <f t="shared" si="45"/>
        <v>45200</v>
      </c>
      <c r="C197" s="201">
        <f t="shared" si="58"/>
        <v>45233</v>
      </c>
      <c r="D197" s="201">
        <f t="shared" si="58"/>
        <v>45254</v>
      </c>
      <c r="E197" s="52" t="s">
        <v>56</v>
      </c>
      <c r="F197" s="146">
        <v>9</v>
      </c>
      <c r="G197" s="183">
        <v>36</v>
      </c>
      <c r="H197" s="184">
        <f t="shared" si="46"/>
        <v>17.534722508656106</v>
      </c>
      <c r="I197" s="184">
        <f t="shared" si="57"/>
        <v>12.581896396484561</v>
      </c>
      <c r="J197" s="185">
        <f t="shared" si="47"/>
        <v>452.94827027344422</v>
      </c>
      <c r="K197" s="192">
        <f t="shared" si="41"/>
        <v>631.2500103116198</v>
      </c>
      <c r="L197" s="191">
        <f t="shared" si="59"/>
        <v>-178.30174003817558</v>
      </c>
      <c r="M197" s="188">
        <f t="shared" si="48"/>
        <v>-14.62966199920125</v>
      </c>
      <c r="N197" s="189">
        <f t="shared" si="49"/>
        <v>-192.93140203737684</v>
      </c>
      <c r="O197" s="188">
        <v>0</v>
      </c>
      <c r="P197" s="188">
        <v>0</v>
      </c>
      <c r="Q197" s="188">
        <v>0</v>
      </c>
      <c r="R197" s="189">
        <f t="shared" si="50"/>
        <v>-192.93140203737684</v>
      </c>
    </row>
    <row r="198" spans="1:18" x14ac:dyDescent="0.25">
      <c r="A198" s="146">
        <v>11</v>
      </c>
      <c r="B198" s="181">
        <f t="shared" si="45"/>
        <v>45231</v>
      </c>
      <c r="C198" s="201">
        <f t="shared" si="58"/>
        <v>45266</v>
      </c>
      <c r="D198" s="201">
        <f t="shared" si="58"/>
        <v>45285</v>
      </c>
      <c r="E198" s="52" t="s">
        <v>56</v>
      </c>
      <c r="F198" s="146">
        <v>9</v>
      </c>
      <c r="G198" s="183">
        <v>26</v>
      </c>
      <c r="H198" s="184">
        <f t="shared" si="46"/>
        <v>17.534722508656106</v>
      </c>
      <c r="I198" s="184">
        <f t="shared" si="57"/>
        <v>12.581896396484561</v>
      </c>
      <c r="J198" s="185">
        <f t="shared" si="47"/>
        <v>327.12930630859859</v>
      </c>
      <c r="K198" s="192">
        <f t="shared" ref="K198:K209" si="60">+$G198*H198</f>
        <v>455.90278522505878</v>
      </c>
      <c r="L198" s="191">
        <f t="shared" si="59"/>
        <v>-128.77347891646019</v>
      </c>
      <c r="M198" s="188">
        <f t="shared" si="48"/>
        <v>-10.565866999423124</v>
      </c>
      <c r="N198" s="189">
        <f t="shared" si="49"/>
        <v>-139.33934591588331</v>
      </c>
      <c r="O198" s="188">
        <v>0</v>
      </c>
      <c r="P198" s="188">
        <v>0</v>
      </c>
      <c r="Q198" s="188">
        <v>0</v>
      </c>
      <c r="R198" s="189">
        <f t="shared" si="50"/>
        <v>-139.33934591588331</v>
      </c>
    </row>
    <row r="199" spans="1:18" s="205" customFormat="1" x14ac:dyDescent="0.25">
      <c r="A199" s="146">
        <v>12</v>
      </c>
      <c r="B199" s="203">
        <f t="shared" si="45"/>
        <v>45261</v>
      </c>
      <c r="C199" s="201">
        <f t="shared" si="58"/>
        <v>45294</v>
      </c>
      <c r="D199" s="201">
        <f t="shared" si="58"/>
        <v>45315</v>
      </c>
      <c r="E199" s="204" t="s">
        <v>56</v>
      </c>
      <c r="F199" s="157">
        <v>9</v>
      </c>
      <c r="G199" s="183">
        <v>31</v>
      </c>
      <c r="H199" s="193">
        <f t="shared" si="46"/>
        <v>17.534722508656106</v>
      </c>
      <c r="I199" s="193">
        <f t="shared" si="57"/>
        <v>12.581896396484561</v>
      </c>
      <c r="J199" s="194">
        <f t="shared" si="47"/>
        <v>390.03878829102138</v>
      </c>
      <c r="K199" s="195">
        <f t="shared" si="60"/>
        <v>543.57639776833923</v>
      </c>
      <c r="L199" s="196">
        <f t="shared" si="59"/>
        <v>-153.53760947731786</v>
      </c>
      <c r="M199" s="188">
        <f t="shared" si="48"/>
        <v>-12.597764499312188</v>
      </c>
      <c r="N199" s="189">
        <f t="shared" si="49"/>
        <v>-166.13537397663004</v>
      </c>
      <c r="O199" s="188">
        <v>0</v>
      </c>
      <c r="P199" s="188">
        <v>0</v>
      </c>
      <c r="Q199" s="188">
        <v>0</v>
      </c>
      <c r="R199" s="189">
        <f t="shared" si="50"/>
        <v>-166.13537397663004</v>
      </c>
    </row>
    <row r="200" spans="1:18" x14ac:dyDescent="0.25">
      <c r="A200" s="110">
        <v>1</v>
      </c>
      <c r="B200" s="181">
        <f t="shared" si="45"/>
        <v>44927</v>
      </c>
      <c r="C200" s="198">
        <f t="shared" si="58"/>
        <v>44960</v>
      </c>
      <c r="D200" s="198">
        <f t="shared" si="58"/>
        <v>44981</v>
      </c>
      <c r="E200" s="182" t="s">
        <v>17</v>
      </c>
      <c r="F200" s="110">
        <v>9</v>
      </c>
      <c r="G200" s="183">
        <v>104</v>
      </c>
      <c r="H200" s="184">
        <f t="shared" si="46"/>
        <v>17.534722508656106</v>
      </c>
      <c r="I200" s="184">
        <f t="shared" si="57"/>
        <v>12.581896396484561</v>
      </c>
      <c r="J200" s="185">
        <f t="shared" si="47"/>
        <v>1308.5172252343943</v>
      </c>
      <c r="K200" s="186">
        <f t="shared" si="60"/>
        <v>1823.6111409002351</v>
      </c>
      <c r="L200" s="187">
        <f t="shared" si="59"/>
        <v>-515.09391566584077</v>
      </c>
      <c r="M200" s="188">
        <f t="shared" si="48"/>
        <v>-42.263467997692494</v>
      </c>
      <c r="N200" s="189">
        <f t="shared" si="49"/>
        <v>-557.35738366353326</v>
      </c>
      <c r="O200" s="188">
        <v>0</v>
      </c>
      <c r="P200" s="188">
        <v>0</v>
      </c>
      <c r="Q200" s="188">
        <v>0</v>
      </c>
      <c r="R200" s="189">
        <f t="shared" si="50"/>
        <v>-557.35738366353326</v>
      </c>
    </row>
    <row r="201" spans="1:18" x14ac:dyDescent="0.25">
      <c r="A201" s="146">
        <v>2</v>
      </c>
      <c r="B201" s="181">
        <f t="shared" si="45"/>
        <v>44958</v>
      </c>
      <c r="C201" s="201">
        <f t="shared" si="58"/>
        <v>44988</v>
      </c>
      <c r="D201" s="201">
        <f t="shared" si="58"/>
        <v>45009</v>
      </c>
      <c r="E201" s="190" t="s">
        <v>17</v>
      </c>
      <c r="F201" s="146">
        <v>9</v>
      </c>
      <c r="G201" s="183">
        <v>107</v>
      </c>
      <c r="H201" s="184">
        <f t="shared" si="46"/>
        <v>17.534722508656106</v>
      </c>
      <c r="I201" s="184">
        <f t="shared" si="57"/>
        <v>12.581896396484561</v>
      </c>
      <c r="J201" s="185">
        <f t="shared" si="47"/>
        <v>1346.2629144238481</v>
      </c>
      <c r="K201" s="186">
        <f t="shared" si="60"/>
        <v>1876.2153084262034</v>
      </c>
      <c r="L201" s="187">
        <f t="shared" si="59"/>
        <v>-529.95239400235528</v>
      </c>
      <c r="M201" s="188">
        <f t="shared" si="48"/>
        <v>-43.482606497625937</v>
      </c>
      <c r="N201" s="189">
        <f t="shared" si="49"/>
        <v>-573.43500049998124</v>
      </c>
      <c r="O201" s="188">
        <v>0</v>
      </c>
      <c r="P201" s="188">
        <v>0</v>
      </c>
      <c r="Q201" s="188">
        <v>0</v>
      </c>
      <c r="R201" s="189">
        <f t="shared" si="50"/>
        <v>-573.43500049998124</v>
      </c>
    </row>
    <row r="202" spans="1:18" x14ac:dyDescent="0.25">
      <c r="A202" s="146">
        <v>3</v>
      </c>
      <c r="B202" s="181">
        <f t="shared" si="45"/>
        <v>44986</v>
      </c>
      <c r="C202" s="201">
        <f t="shared" si="58"/>
        <v>45021</v>
      </c>
      <c r="D202" s="201">
        <f t="shared" si="58"/>
        <v>45040</v>
      </c>
      <c r="E202" s="190" t="s">
        <v>17</v>
      </c>
      <c r="F202" s="146">
        <v>9</v>
      </c>
      <c r="G202" s="183">
        <v>103</v>
      </c>
      <c r="H202" s="184">
        <f t="shared" si="46"/>
        <v>17.534722508656106</v>
      </c>
      <c r="I202" s="184">
        <f t="shared" si="57"/>
        <v>12.581896396484561</v>
      </c>
      <c r="J202" s="185">
        <f t="shared" si="47"/>
        <v>1295.9353288379098</v>
      </c>
      <c r="K202" s="186">
        <f t="shared" si="60"/>
        <v>1806.076418391579</v>
      </c>
      <c r="L202" s="187">
        <f>+J202-K202</f>
        <v>-510.14108955366919</v>
      </c>
      <c r="M202" s="188">
        <f t="shared" si="48"/>
        <v>-41.857088497714692</v>
      </c>
      <c r="N202" s="189">
        <f t="shared" si="49"/>
        <v>-551.99817805138389</v>
      </c>
      <c r="O202" s="188">
        <v>0</v>
      </c>
      <c r="P202" s="188">
        <v>0</v>
      </c>
      <c r="Q202" s="188">
        <v>0</v>
      </c>
      <c r="R202" s="189">
        <f t="shared" si="50"/>
        <v>-551.99817805138389</v>
      </c>
    </row>
    <row r="203" spans="1:18" x14ac:dyDescent="0.25">
      <c r="A203" s="110">
        <v>4</v>
      </c>
      <c r="B203" s="181">
        <f t="shared" si="45"/>
        <v>45017</v>
      </c>
      <c r="C203" s="201">
        <f t="shared" si="58"/>
        <v>45049</v>
      </c>
      <c r="D203" s="201">
        <f t="shared" si="58"/>
        <v>45070</v>
      </c>
      <c r="E203" s="190" t="s">
        <v>17</v>
      </c>
      <c r="F203" s="146">
        <v>9</v>
      </c>
      <c r="G203" s="183">
        <v>98</v>
      </c>
      <c r="H203" s="184">
        <f t="shared" si="46"/>
        <v>17.534722508656106</v>
      </c>
      <c r="I203" s="184">
        <f t="shared" si="57"/>
        <v>12.581896396484561</v>
      </c>
      <c r="J203" s="185">
        <f t="shared" si="47"/>
        <v>1233.0258468554871</v>
      </c>
      <c r="K203" s="186">
        <f t="shared" si="60"/>
        <v>1718.4028058482984</v>
      </c>
      <c r="L203" s="187">
        <f t="shared" ref="L203:L211" si="61">+J203-K203</f>
        <v>-485.3769589928113</v>
      </c>
      <c r="M203" s="188">
        <f t="shared" si="48"/>
        <v>-39.825190997825622</v>
      </c>
      <c r="N203" s="189">
        <f t="shared" si="49"/>
        <v>-525.20214999063694</v>
      </c>
      <c r="O203" s="188">
        <v>0</v>
      </c>
      <c r="P203" s="188">
        <v>0</v>
      </c>
      <c r="Q203" s="188">
        <v>0</v>
      </c>
      <c r="R203" s="189">
        <f t="shared" si="50"/>
        <v>-525.20214999063694</v>
      </c>
    </row>
    <row r="204" spans="1:18" x14ac:dyDescent="0.25">
      <c r="A204" s="146">
        <v>5</v>
      </c>
      <c r="B204" s="181">
        <f t="shared" si="45"/>
        <v>45047</v>
      </c>
      <c r="C204" s="201">
        <f t="shared" si="58"/>
        <v>45082</v>
      </c>
      <c r="D204" s="201">
        <f t="shared" si="58"/>
        <v>45103</v>
      </c>
      <c r="E204" s="52" t="s">
        <v>17</v>
      </c>
      <c r="F204" s="146">
        <v>9</v>
      </c>
      <c r="G204" s="183">
        <v>105</v>
      </c>
      <c r="H204" s="184">
        <f t="shared" si="46"/>
        <v>17.534722508656106</v>
      </c>
      <c r="I204" s="184">
        <f t="shared" si="57"/>
        <v>12.581896396484561</v>
      </c>
      <c r="J204" s="185">
        <f t="shared" si="47"/>
        <v>1321.0991216308789</v>
      </c>
      <c r="K204" s="186">
        <f t="shared" si="60"/>
        <v>1841.145863408891</v>
      </c>
      <c r="L204" s="187">
        <f t="shared" si="61"/>
        <v>-520.04674177801212</v>
      </c>
      <c r="M204" s="188">
        <f t="shared" si="48"/>
        <v>-42.669847497670311</v>
      </c>
      <c r="N204" s="189">
        <f t="shared" si="49"/>
        <v>-562.7165892756824</v>
      </c>
      <c r="O204" s="188">
        <v>0</v>
      </c>
      <c r="P204" s="188">
        <v>0</v>
      </c>
      <c r="Q204" s="188">
        <v>0</v>
      </c>
      <c r="R204" s="189">
        <f t="shared" si="50"/>
        <v>-562.7165892756824</v>
      </c>
    </row>
    <row r="205" spans="1:18" x14ac:dyDescent="0.25">
      <c r="A205" s="146">
        <v>6</v>
      </c>
      <c r="B205" s="181">
        <f t="shared" si="45"/>
        <v>45078</v>
      </c>
      <c r="C205" s="201">
        <f t="shared" si="58"/>
        <v>45112</v>
      </c>
      <c r="D205" s="201">
        <f t="shared" si="58"/>
        <v>45131</v>
      </c>
      <c r="E205" s="52" t="s">
        <v>17</v>
      </c>
      <c r="F205" s="146">
        <v>9</v>
      </c>
      <c r="G205" s="183">
        <v>115</v>
      </c>
      <c r="H205" s="184">
        <f t="shared" si="46"/>
        <v>17.534722508656106</v>
      </c>
      <c r="I205" s="184">
        <f t="shared" si="57"/>
        <v>12.581896396484561</v>
      </c>
      <c r="J205" s="185">
        <f t="shared" si="47"/>
        <v>1446.9180855957245</v>
      </c>
      <c r="K205" s="186">
        <f t="shared" si="60"/>
        <v>2016.4930884954522</v>
      </c>
      <c r="L205" s="191">
        <f t="shared" si="61"/>
        <v>-569.57500289972768</v>
      </c>
      <c r="M205" s="188">
        <f t="shared" si="48"/>
        <v>-46.733642497448436</v>
      </c>
      <c r="N205" s="189">
        <f t="shared" si="49"/>
        <v>-616.30864539717606</v>
      </c>
      <c r="O205" s="188">
        <v>0</v>
      </c>
      <c r="P205" s="188">
        <v>0</v>
      </c>
      <c r="Q205" s="188">
        <v>0</v>
      </c>
      <c r="R205" s="189">
        <f t="shared" si="50"/>
        <v>-616.30864539717606</v>
      </c>
    </row>
    <row r="206" spans="1:18" x14ac:dyDescent="0.25">
      <c r="A206" s="110">
        <v>7</v>
      </c>
      <c r="B206" s="181">
        <f t="shared" si="45"/>
        <v>45108</v>
      </c>
      <c r="C206" s="201">
        <f t="shared" si="58"/>
        <v>45141</v>
      </c>
      <c r="D206" s="201">
        <f t="shared" si="58"/>
        <v>45162</v>
      </c>
      <c r="E206" s="52" t="s">
        <v>17</v>
      </c>
      <c r="F206" s="146">
        <v>9</v>
      </c>
      <c r="G206" s="183">
        <v>110</v>
      </c>
      <c r="H206" s="184">
        <f t="shared" si="46"/>
        <v>17.534722508656106</v>
      </c>
      <c r="I206" s="184">
        <f t="shared" si="57"/>
        <v>12.581896396484561</v>
      </c>
      <c r="J206" s="185">
        <f t="shared" si="47"/>
        <v>1384.0086036133018</v>
      </c>
      <c r="K206" s="192">
        <f t="shared" si="60"/>
        <v>1928.8194759521716</v>
      </c>
      <c r="L206" s="191">
        <f t="shared" si="61"/>
        <v>-544.81087233886979</v>
      </c>
      <c r="M206" s="188">
        <f t="shared" si="48"/>
        <v>-44.701744997559381</v>
      </c>
      <c r="N206" s="189">
        <f t="shared" si="49"/>
        <v>-589.51261733642912</v>
      </c>
      <c r="O206" s="188">
        <v>0</v>
      </c>
      <c r="P206" s="188">
        <v>0</v>
      </c>
      <c r="Q206" s="188">
        <v>0</v>
      </c>
      <c r="R206" s="189">
        <f t="shared" si="50"/>
        <v>-589.51261733642912</v>
      </c>
    </row>
    <row r="207" spans="1:18" x14ac:dyDescent="0.25">
      <c r="A207" s="146">
        <v>8</v>
      </c>
      <c r="B207" s="181">
        <f t="shared" si="45"/>
        <v>45139</v>
      </c>
      <c r="C207" s="201">
        <f t="shared" si="58"/>
        <v>45174</v>
      </c>
      <c r="D207" s="201">
        <f t="shared" si="58"/>
        <v>45194</v>
      </c>
      <c r="E207" s="52" t="s">
        <v>17</v>
      </c>
      <c r="F207" s="146">
        <v>9</v>
      </c>
      <c r="G207" s="183">
        <v>109</v>
      </c>
      <c r="H207" s="184">
        <f t="shared" si="46"/>
        <v>17.534722508656106</v>
      </c>
      <c r="I207" s="184">
        <f t="shared" si="57"/>
        <v>12.581896396484561</v>
      </c>
      <c r="J207" s="185">
        <f t="shared" si="47"/>
        <v>1371.4267072168172</v>
      </c>
      <c r="K207" s="192">
        <f t="shared" si="60"/>
        <v>1911.2847534435155</v>
      </c>
      <c r="L207" s="191">
        <f t="shared" si="61"/>
        <v>-539.85804622669821</v>
      </c>
      <c r="M207" s="188">
        <f t="shared" si="48"/>
        <v>-44.295365497581564</v>
      </c>
      <c r="N207" s="189">
        <f t="shared" si="49"/>
        <v>-584.15341172427975</v>
      </c>
      <c r="O207" s="188">
        <v>0</v>
      </c>
      <c r="P207" s="188">
        <v>0</v>
      </c>
      <c r="Q207" s="188">
        <v>0</v>
      </c>
      <c r="R207" s="189">
        <f t="shared" si="50"/>
        <v>-584.15341172427975</v>
      </c>
    </row>
    <row r="208" spans="1:18" x14ac:dyDescent="0.25">
      <c r="A208" s="146">
        <v>9</v>
      </c>
      <c r="B208" s="181">
        <f t="shared" si="45"/>
        <v>45170</v>
      </c>
      <c r="C208" s="201">
        <f t="shared" si="58"/>
        <v>45203</v>
      </c>
      <c r="D208" s="201">
        <f t="shared" si="58"/>
        <v>45223</v>
      </c>
      <c r="E208" s="52" t="s">
        <v>17</v>
      </c>
      <c r="F208" s="146">
        <v>9</v>
      </c>
      <c r="G208" s="183">
        <v>112</v>
      </c>
      <c r="H208" s="184">
        <f t="shared" si="46"/>
        <v>17.534722508656106</v>
      </c>
      <c r="I208" s="184">
        <f t="shared" si="57"/>
        <v>12.581896396484561</v>
      </c>
      <c r="J208" s="185">
        <f t="shared" si="47"/>
        <v>1409.1723964062708</v>
      </c>
      <c r="K208" s="192">
        <f t="shared" si="60"/>
        <v>1963.8889209694839</v>
      </c>
      <c r="L208" s="191">
        <f t="shared" si="61"/>
        <v>-554.71652456321317</v>
      </c>
      <c r="M208" s="188">
        <f t="shared" si="48"/>
        <v>-45.514503997515</v>
      </c>
      <c r="N208" s="189">
        <f t="shared" si="49"/>
        <v>-600.23102856072819</v>
      </c>
      <c r="O208" s="188">
        <v>0</v>
      </c>
      <c r="P208" s="188">
        <v>0</v>
      </c>
      <c r="Q208" s="188">
        <v>0</v>
      </c>
      <c r="R208" s="189">
        <f t="shared" si="50"/>
        <v>-600.23102856072819</v>
      </c>
    </row>
    <row r="209" spans="1:18" x14ac:dyDescent="0.25">
      <c r="A209" s="110">
        <v>10</v>
      </c>
      <c r="B209" s="181">
        <f t="shared" si="45"/>
        <v>45200</v>
      </c>
      <c r="C209" s="201">
        <f t="shared" si="58"/>
        <v>45233</v>
      </c>
      <c r="D209" s="201">
        <f t="shared" si="58"/>
        <v>45254</v>
      </c>
      <c r="E209" s="52" t="s">
        <v>17</v>
      </c>
      <c r="F209" s="146">
        <v>9</v>
      </c>
      <c r="G209" s="183">
        <v>107</v>
      </c>
      <c r="H209" s="184">
        <f t="shared" si="46"/>
        <v>17.534722508656106</v>
      </c>
      <c r="I209" s="184">
        <f t="shared" si="57"/>
        <v>12.581896396484561</v>
      </c>
      <c r="J209" s="185">
        <f t="shared" si="47"/>
        <v>1346.2629144238481</v>
      </c>
      <c r="K209" s="192">
        <f t="shared" si="60"/>
        <v>1876.2153084262034</v>
      </c>
      <c r="L209" s="191">
        <f t="shared" si="61"/>
        <v>-529.95239400235528</v>
      </c>
      <c r="M209" s="188">
        <f t="shared" si="48"/>
        <v>-43.482606497625937</v>
      </c>
      <c r="N209" s="189">
        <f t="shared" si="49"/>
        <v>-573.43500049998124</v>
      </c>
      <c r="O209" s="188">
        <v>0</v>
      </c>
      <c r="P209" s="188">
        <v>0</v>
      </c>
      <c r="Q209" s="188">
        <v>0</v>
      </c>
      <c r="R209" s="189">
        <f t="shared" si="50"/>
        <v>-573.43500049998124</v>
      </c>
    </row>
    <row r="210" spans="1:18" x14ac:dyDescent="0.25">
      <c r="A210" s="146">
        <v>11</v>
      </c>
      <c r="B210" s="181">
        <f t="shared" si="45"/>
        <v>45231</v>
      </c>
      <c r="C210" s="201">
        <f t="shared" si="58"/>
        <v>45266</v>
      </c>
      <c r="D210" s="201">
        <f t="shared" si="58"/>
        <v>45285</v>
      </c>
      <c r="E210" s="52" t="s">
        <v>17</v>
      </c>
      <c r="F210" s="146">
        <v>9</v>
      </c>
      <c r="G210" s="183">
        <v>104</v>
      </c>
      <c r="H210" s="184">
        <f t="shared" si="46"/>
        <v>17.534722508656106</v>
      </c>
      <c r="I210" s="184">
        <f t="shared" si="57"/>
        <v>12.581896396484561</v>
      </c>
      <c r="J210" s="185">
        <f t="shared" si="47"/>
        <v>1308.5172252343943</v>
      </c>
      <c r="K210" s="192">
        <f>+$G210*H210</f>
        <v>1823.6111409002351</v>
      </c>
      <c r="L210" s="191">
        <f t="shared" si="61"/>
        <v>-515.09391566584077</v>
      </c>
      <c r="M210" s="188">
        <f t="shared" si="48"/>
        <v>-42.263467997692494</v>
      </c>
      <c r="N210" s="189">
        <f t="shared" si="49"/>
        <v>-557.35738366353326</v>
      </c>
      <c r="O210" s="188">
        <v>0</v>
      </c>
      <c r="P210" s="188">
        <v>0</v>
      </c>
      <c r="Q210" s="188">
        <v>0</v>
      </c>
      <c r="R210" s="189">
        <f t="shared" si="50"/>
        <v>-557.35738366353326</v>
      </c>
    </row>
    <row r="211" spans="1:18" s="205" customFormat="1" x14ac:dyDescent="0.25">
      <c r="A211" s="146">
        <v>12</v>
      </c>
      <c r="B211" s="203">
        <f t="shared" si="45"/>
        <v>45261</v>
      </c>
      <c r="C211" s="206">
        <f t="shared" si="58"/>
        <v>45294</v>
      </c>
      <c r="D211" s="206">
        <f t="shared" si="58"/>
        <v>45315</v>
      </c>
      <c r="E211" s="204" t="s">
        <v>17</v>
      </c>
      <c r="F211" s="157">
        <v>9</v>
      </c>
      <c r="G211" s="183">
        <v>101</v>
      </c>
      <c r="H211" s="193">
        <f t="shared" si="46"/>
        <v>17.534722508656106</v>
      </c>
      <c r="I211" s="193">
        <f t="shared" si="57"/>
        <v>12.581896396484561</v>
      </c>
      <c r="J211" s="194">
        <f t="shared" si="47"/>
        <v>1270.7715360449406</v>
      </c>
      <c r="K211" s="195">
        <f>+$G211*H211</f>
        <v>1771.0069733742666</v>
      </c>
      <c r="L211" s="196">
        <f t="shared" si="61"/>
        <v>-500.23543732932603</v>
      </c>
      <c r="M211" s="194">
        <f t="shared" si="48"/>
        <v>-41.044329497759065</v>
      </c>
      <c r="N211" s="189">
        <f t="shared" si="49"/>
        <v>-541.27976682708504</v>
      </c>
      <c r="O211" s="188">
        <v>0</v>
      </c>
      <c r="P211" s="188">
        <v>0</v>
      </c>
      <c r="Q211" s="188">
        <v>0</v>
      </c>
      <c r="R211" s="189">
        <f t="shared" si="50"/>
        <v>-541.27976682708504</v>
      </c>
    </row>
    <row r="212" spans="1:18" x14ac:dyDescent="0.25">
      <c r="G212" s="211">
        <f>SUM(G20:G211)</f>
        <v>102178</v>
      </c>
      <c r="H212" s="49"/>
      <c r="I212" s="49"/>
      <c r="J212" s="49">
        <f>SUM(J20:J211)</f>
        <v>1285593.0099999998</v>
      </c>
      <c r="K212" s="49">
        <f>SUM(K20:K211)</f>
        <v>1791662.8764894628</v>
      </c>
      <c r="L212" s="49">
        <f>SUM(L20:L211)</f>
        <v>-506069.86648946401</v>
      </c>
      <c r="M212" s="49">
        <f>SUM(M20:M211)</f>
        <v>-41523.044548732927</v>
      </c>
      <c r="N212" s="49"/>
      <c r="O212" s="49"/>
      <c r="P212" s="49">
        <f>SUM(P20:P211)</f>
        <v>0</v>
      </c>
      <c r="Q212" s="49"/>
      <c r="R212" s="212">
        <f>SUM(R20:R211)</f>
        <v>-547592.91103819665</v>
      </c>
    </row>
    <row r="213" spans="1:18" x14ac:dyDescent="0.25">
      <c r="P213" s="49"/>
      <c r="Q213" s="49"/>
    </row>
    <row r="220" spans="1:18" x14ac:dyDescent="0.25">
      <c r="D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</sheetData>
  <mergeCells count="4">
    <mergeCell ref="G2:H2"/>
    <mergeCell ref="G3:H3"/>
    <mergeCell ref="G7:H7"/>
    <mergeCell ref="G8:H8"/>
  </mergeCells>
  <phoneticPr fontId="0" type="noConversion"/>
  <pageMargins left="0.5" right="0.5" top="1.05" bottom="1" header="0.31" footer="0.5"/>
  <pageSetup scale="46" fitToHeight="0" orientation="landscape" cellComments="asDisplayed" r:id="rId1"/>
  <headerFooter alignWithMargins="0">
    <oddHeader>&amp;R&amp;F  &amp;A</oddHead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lOWMwYjhkNy1iZGI0LTRmZDMtYjYyYS1mNTAzMjdhYWVmY2UiIG9yaWdpbj0iYXV0b1NlbGVjdGVkU3VnZ2VzdGlvbiI+PGVsZW1lbnQgdWlkPSI1MGMzMTgyNC0wNzgwLTQ5MTAtODdkMS1lYWFmZmQxODJkNDIiIHZhbHVlPSIiIHhtbG5zPSJodHRwOi8vd3d3LmJvbGRvbmphbWVzLmNvbS8yMDA4LzAxL3NpZS9pbnRlcm5hbC9sYWJlbCIgLz48ZWxlbWVudCB1aWQ9ImM2NDIxOGFiLWI4ZDEtNDBiNi1hNDc4LWNiOGJlMWUxMGVjYyIgdmFsdWU9IiIgeG1sbnM9Imh0dHA6Ly93d3cuYm9sZG9uamFtZXMuY29tLzIwMDgvMDEvc2llL2ludGVybmFsL2xhYmVsIiAvPjwvc2lzbD48VXNlck5hbWU+Q09SUFxzMTc3MDQwPC9Vc2VyTmFtZT48RGF0ZVRpbWU+NC80LzIwMjIgMzowOTo1NiBQTTwvRGF0ZVRpbWU+PExhYmVsU3RyaW5nPkFFUCBJbnRlcm5hbDwvTGFiZWxTdHJpbmc+PC9pdGVtPjxpdGVtPjxzaXNsIHNpc2xWZXJzaW9uPSIwIiBwb2xpY3k9ImU5YzBiOGQ3LWJkYjQtNGZkMy1iNjJhLWY1MDMyN2FhZWZjZSIgb3JpZ2luPSJ1c2VyU2VsZWN0ZWQiPjxlbGVtZW50IHVpZD0iNTBjMzE4MjQtMDc4MC00OTEwLTg3ZDEtZWFhZmZkMTgyZDQyIiB2YWx1ZT0iIiB4bWxucz0iaHR0cDovL3d3dy5ib2xkb25qYW1lcy5jb20vMjAwOC8wMS9zaWUvaW50ZXJuYWwvbGFiZWwiIC8+PC9zaXNsPjxVc2VyTmFtZT5DT1JQXHMxNzcwNDA8L1VzZXJOYW1lPjxEYXRlVGltZT41LzIzLzIwMjIgNTozNToyMSBQTTwvRGF0ZVRpbWU+PExhYmVsU3RyaW5nPkFFUCBJbnRlcm5hbDwvTGFiZWxTdHJpbmc+PC9pdGVtPjwvbGFiZWxIaXN0b3J5Pg==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50c31824-0780-4910-87d1-eaaffd182d42" value=""/>
</sisl>
</file>

<file path=customXml/itemProps1.xml><?xml version="1.0" encoding="utf-8"?>
<ds:datastoreItem xmlns:ds="http://schemas.openxmlformats.org/officeDocument/2006/customXml" ds:itemID="{B0EE7CD5-3A35-47DF-B8E1-3CC1C0171682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758D4AF9-31E9-4D48-8F20-7FD56ED0382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Instructions</vt:lpstr>
      <vt:lpstr>Summary</vt:lpstr>
      <vt:lpstr>Pivot</vt:lpstr>
      <vt:lpstr>Transactions</vt:lpstr>
      <vt:lpstr>Transactions!AS1_1999</vt:lpstr>
      <vt:lpstr>Instructions!Print_Area</vt:lpstr>
      <vt:lpstr>Summary!Print_Area</vt:lpstr>
      <vt:lpstr>Transactions!Print_Area</vt:lpstr>
      <vt:lpstr>Pivot!Print_Titles</vt:lpstr>
      <vt:lpstr>Transactions!Print_Titles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Williamson</dc:creator>
  <cp:keywords/>
  <cp:lastModifiedBy>Allyson L Keaton</cp:lastModifiedBy>
  <cp:lastPrinted>2023-05-24T19:57:31Z</cp:lastPrinted>
  <dcterms:created xsi:type="dcterms:W3CDTF">2009-09-04T18:19:13Z</dcterms:created>
  <dcterms:modified xsi:type="dcterms:W3CDTF">2024-05-24T14:09:05Z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2acfcf31-dd2d-4375-8e33-fce169956290</vt:lpwstr>
  </property>
  <property fmtid="{D5CDD505-2E9C-101B-9397-08002B2CF9AE}" pid="3" name="bjSaver">
    <vt:lpwstr>clRxCTTKA7z930TtRLwKph96GxWYXtbn</vt:lpwstr>
  </property>
  <property fmtid="{D5CDD505-2E9C-101B-9397-08002B2CF9AE}" pid="4" name="bjDocumentSecurityLabel">
    <vt:lpwstr>AEP Internal</vt:lpwstr>
  </property>
  <property fmtid="{D5CDD505-2E9C-101B-9397-08002B2CF9AE}" pid="5" name="Visual Markings Removed">
    <vt:lpwstr>No</vt:lpwstr>
  </property>
  <property fmtid="{D5CDD505-2E9C-101B-9397-08002B2CF9AE}" pid="6" name="bjClsUserRVM">
    <vt:lpwstr>[]</vt:lpwstr>
  </property>
  <property fmtid="{D5CDD505-2E9C-101B-9397-08002B2CF9AE}" pid="7" name="MSIP_Label_69f43042-6bda-44b2-91eb-eca3d3d484f4_SiteId">
    <vt:lpwstr>15f3c881-6b03-4ff6-8559-77bf5177818f</vt:lpwstr>
  </property>
  <property fmtid="{D5CDD505-2E9C-101B-9397-08002B2CF9AE}" pid="8" name="MSIP_Label_69f43042-6bda-44b2-91eb-eca3d3d484f4_Name">
    <vt:lpwstr>AEP Internal</vt:lpwstr>
  </property>
  <property fmtid="{D5CDD505-2E9C-101B-9397-08002B2CF9AE}" pid="9" name="MSIP_Label_69f43042-6bda-44b2-91eb-eca3d3d484f4_Enabled">
    <vt:lpwstr>true</vt:lpwstr>
  </property>
  <property fmtid="{D5CDD505-2E9C-101B-9397-08002B2CF9AE}" pid="10" name="bjLabelHistoryID">
    <vt:lpwstr>{B0EE7CD5-3A35-47DF-B8E1-3CC1C0171682}</vt:lpwstr>
  </property>
  <property fmtid="{D5CDD505-2E9C-101B-9397-08002B2CF9AE}" pid="11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12" name="bjDocumentLabelXML-0">
    <vt:lpwstr>ames.com/2008/01/sie/internal/label"&gt;&lt;element uid="50c31824-0780-4910-87d1-eaaffd182d42" value="" /&gt;&lt;/sisl&gt;</vt:lpwstr>
  </property>
</Properties>
</file>